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20" yWindow="-20" windowWidth="15300" windowHeight="4300"/>
  </bookViews>
  <sheets>
    <sheet name="Summary" sheetId="5" r:id="rId1"/>
    <sheet name="Winona" sheetId="6" r:id="rId2"/>
  </sheets>
  <definedNames>
    <definedName name="_xlnm._FilterDatabase" hidden="1">Winona!#REF!</definedName>
    <definedName name="_xlnm.Print_Area" localSheetId="1">Winona!$A$1:$H$391</definedName>
    <definedName name="_xlnm.Print_Area">Winona!$A$1:$H$391</definedName>
    <definedName name="_xlnm.Print_Titles">Winona!$5:$8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9" i="5"/>
  <c r="G19"/>
  <c r="G29"/>
  <c r="G27"/>
  <c r="H19"/>
  <c r="G12"/>
  <c r="H12"/>
  <c r="G21"/>
  <c r="H21"/>
  <c r="G13"/>
  <c r="H13"/>
  <c r="G25"/>
  <c r="H25"/>
  <c r="G17"/>
  <c r="H17"/>
  <c r="G22"/>
  <c r="H22"/>
  <c r="G14"/>
  <c r="H14"/>
  <c r="G23"/>
  <c r="H23"/>
  <c r="G11"/>
  <c r="H11"/>
  <c r="G24"/>
  <c r="H24"/>
  <c r="G9"/>
  <c r="H9"/>
  <c r="H27"/>
  <c r="G15"/>
  <c r="H15"/>
  <c r="G16"/>
  <c r="H16"/>
  <c r="H29"/>
  <c r="E29"/>
  <c r="F29"/>
  <c r="D19"/>
  <c r="G26"/>
  <c r="H26"/>
  <c r="C29"/>
  <c r="D13"/>
  <c r="B19"/>
  <c r="B29"/>
  <c r="F19"/>
  <c r="E19"/>
  <c r="D21"/>
  <c r="D15"/>
  <c r="D14"/>
  <c r="F15"/>
  <c r="F14"/>
  <c r="F13"/>
  <c r="F17"/>
  <c r="D26"/>
  <c r="C13"/>
  <c r="C19"/>
  <c r="F16"/>
  <c r="D27"/>
  <c r="C27"/>
  <c r="D24"/>
  <c r="D16"/>
  <c r="D22"/>
  <c r="D25"/>
  <c r="D9"/>
  <c r="F11"/>
  <c r="F27"/>
  <c r="B9"/>
  <c r="E27"/>
  <c r="F21"/>
  <c r="E21"/>
  <c r="C21"/>
  <c r="F22"/>
  <c r="E22"/>
  <c r="C22"/>
  <c r="C24"/>
  <c r="C11"/>
  <c r="C17"/>
  <c r="C9"/>
  <c r="E25"/>
  <c r="C25"/>
  <c r="F25"/>
  <c r="C16"/>
  <c r="F24"/>
  <c r="F26"/>
  <c r="F23"/>
  <c r="F9"/>
  <c r="E9"/>
  <c r="E15"/>
  <c r="E24"/>
  <c r="E16"/>
  <c r="B27"/>
  <c r="B24"/>
  <c r="B21"/>
  <c r="B25"/>
  <c r="B22"/>
  <c r="B13"/>
  <c r="B17"/>
  <c r="B15"/>
  <c r="B14"/>
  <c r="C15"/>
  <c r="C14"/>
  <c r="D17"/>
  <c r="E17"/>
  <c r="E14"/>
  <c r="E13"/>
  <c r="B12"/>
  <c r="C12"/>
  <c r="D12"/>
  <c r="E12"/>
  <c r="F12"/>
  <c r="B11"/>
  <c r="E11"/>
  <c r="D11"/>
  <c r="E26"/>
  <c r="C26"/>
  <c r="B26"/>
  <c r="B23"/>
  <c r="E23"/>
  <c r="D23"/>
  <c r="C23"/>
  <c r="B16"/>
  <c r="G31"/>
  <c r="E10" i="6"/>
  <c r="H10"/>
  <c r="E11"/>
  <c r="H11"/>
  <c r="E12"/>
  <c r="H12"/>
  <c r="E13"/>
  <c r="H13"/>
  <c r="E14"/>
  <c r="H14"/>
  <c r="E15"/>
  <c r="H15"/>
  <c r="E16"/>
  <c r="H16"/>
  <c r="E17"/>
  <c r="H17"/>
  <c r="C19"/>
  <c r="D19"/>
  <c r="F19"/>
  <c r="G19"/>
  <c r="E22"/>
  <c r="H22"/>
  <c r="E23"/>
  <c r="H23"/>
  <c r="E24"/>
  <c r="H24"/>
  <c r="E25"/>
  <c r="H25"/>
  <c r="E26"/>
  <c r="H26"/>
  <c r="E27"/>
  <c r="H27"/>
  <c r="E28"/>
  <c r="H28"/>
  <c r="E29"/>
  <c r="H29"/>
  <c r="C30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G39"/>
  <c r="H39"/>
  <c r="E40"/>
  <c r="H40"/>
  <c r="E41"/>
  <c r="H41"/>
  <c r="E42"/>
  <c r="H42"/>
  <c r="E43"/>
  <c r="H43"/>
  <c r="E44"/>
  <c r="H44"/>
  <c r="E45"/>
  <c r="H45"/>
  <c r="E46"/>
  <c r="H46"/>
  <c r="E47"/>
  <c r="H47"/>
  <c r="E48"/>
  <c r="H48"/>
  <c r="E49"/>
  <c r="H49"/>
  <c r="E50"/>
  <c r="H50"/>
  <c r="E51"/>
  <c r="H51"/>
  <c r="E52"/>
  <c r="H52"/>
  <c r="E53"/>
  <c r="H53"/>
  <c r="C54"/>
  <c r="E54"/>
  <c r="G54"/>
  <c r="E55"/>
  <c r="H55"/>
  <c r="E56"/>
  <c r="H56"/>
  <c r="E57"/>
  <c r="H57"/>
  <c r="E58"/>
  <c r="H58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C72"/>
  <c r="D72"/>
  <c r="F72"/>
  <c r="G72"/>
  <c r="E75"/>
  <c r="H75"/>
  <c r="E76"/>
  <c r="H76"/>
  <c r="E77"/>
  <c r="H77"/>
  <c r="E78"/>
  <c r="H78"/>
  <c r="E79"/>
  <c r="H79"/>
  <c r="E80"/>
  <c r="H80"/>
  <c r="C82"/>
  <c r="D82"/>
  <c r="E82"/>
  <c r="F82"/>
  <c r="G82"/>
  <c r="E85"/>
  <c r="G85"/>
  <c r="E86"/>
  <c r="G86"/>
  <c r="E87"/>
  <c r="H87"/>
  <c r="E88"/>
  <c r="G88"/>
  <c r="E89"/>
  <c r="G89"/>
  <c r="H89"/>
  <c r="E90"/>
  <c r="G90"/>
  <c r="H90"/>
  <c r="E91"/>
  <c r="H91"/>
  <c r="E92"/>
  <c r="H92"/>
  <c r="E93"/>
  <c r="H93"/>
  <c r="E94"/>
  <c r="G94"/>
  <c r="H94"/>
  <c r="E95"/>
  <c r="G95"/>
  <c r="H95"/>
  <c r="E96"/>
  <c r="G96"/>
  <c r="H96"/>
  <c r="E97"/>
  <c r="G97"/>
  <c r="E98"/>
  <c r="H98"/>
  <c r="C100"/>
  <c r="D100"/>
  <c r="F100"/>
  <c r="E103"/>
  <c r="H103"/>
  <c r="E104"/>
  <c r="H104"/>
  <c r="E105"/>
  <c r="H105"/>
  <c r="E106"/>
  <c r="G106"/>
  <c r="H106"/>
  <c r="E107"/>
  <c r="H107"/>
  <c r="E108"/>
  <c r="G108"/>
  <c r="E109"/>
  <c r="H109"/>
  <c r="E110"/>
  <c r="H110"/>
  <c r="E111"/>
  <c r="G111"/>
  <c r="H111"/>
  <c r="E112"/>
  <c r="H112"/>
  <c r="E113"/>
  <c r="H113"/>
  <c r="D114"/>
  <c r="E114"/>
  <c r="H114"/>
  <c r="E115"/>
  <c r="H115"/>
  <c r="E116"/>
  <c r="H116"/>
  <c r="E117"/>
  <c r="H117"/>
  <c r="E118"/>
  <c r="H118"/>
  <c r="E119"/>
  <c r="H119"/>
  <c r="E120"/>
  <c r="G120"/>
  <c r="H120"/>
  <c r="E121"/>
  <c r="H121"/>
  <c r="E122"/>
  <c r="G122"/>
  <c r="H122"/>
  <c r="E123"/>
  <c r="H123"/>
  <c r="E124"/>
  <c r="G124"/>
  <c r="H124"/>
  <c r="E125"/>
  <c r="H125"/>
  <c r="C127"/>
  <c r="D127"/>
  <c r="F127"/>
  <c r="E130"/>
  <c r="H130"/>
  <c r="E131"/>
  <c r="H131"/>
  <c r="E132"/>
  <c r="G132"/>
  <c r="E133"/>
  <c r="H133"/>
  <c r="E134"/>
  <c r="H134"/>
  <c r="E135"/>
  <c r="H135"/>
  <c r="E136"/>
  <c r="H136"/>
  <c r="E137"/>
  <c r="H137"/>
  <c r="E138"/>
  <c r="H138"/>
  <c r="E139"/>
  <c r="G139"/>
  <c r="H139"/>
  <c r="E140"/>
  <c r="G140"/>
  <c r="H140"/>
  <c r="E141"/>
  <c r="G141"/>
  <c r="H141"/>
  <c r="E142"/>
  <c r="G142"/>
  <c r="E143"/>
  <c r="G143"/>
  <c r="H143"/>
  <c r="E144"/>
  <c r="G144"/>
  <c r="H144"/>
  <c r="E145"/>
  <c r="H145"/>
  <c r="E146"/>
  <c r="H146"/>
  <c r="E147"/>
  <c r="G147"/>
  <c r="H147"/>
  <c r="E148"/>
  <c r="G148"/>
  <c r="E149"/>
  <c r="G149"/>
  <c r="H149"/>
  <c r="E150"/>
  <c r="G150"/>
  <c r="H150"/>
  <c r="E151"/>
  <c r="G151"/>
  <c r="H151"/>
  <c r="E152"/>
  <c r="H152"/>
  <c r="E153"/>
  <c r="G153"/>
  <c r="E154"/>
  <c r="G154"/>
  <c r="H154"/>
  <c r="E155"/>
  <c r="H155"/>
  <c r="E156"/>
  <c r="H156"/>
  <c r="E157"/>
  <c r="H157"/>
  <c r="E158"/>
  <c r="H158"/>
  <c r="E159"/>
  <c r="H159"/>
  <c r="E160"/>
  <c r="G160"/>
  <c r="H160"/>
  <c r="E161"/>
  <c r="H161"/>
  <c r="E162"/>
  <c r="G162"/>
  <c r="H162"/>
  <c r="E163"/>
  <c r="H163"/>
  <c r="E164"/>
  <c r="H164"/>
  <c r="E165"/>
  <c r="H165"/>
  <c r="E166"/>
  <c r="G166"/>
  <c r="H166"/>
  <c r="E167"/>
  <c r="G167"/>
  <c r="H167"/>
  <c r="E168"/>
  <c r="H168"/>
  <c r="E169"/>
  <c r="H169"/>
  <c r="E170"/>
  <c r="H170"/>
  <c r="E171"/>
  <c r="H171"/>
  <c r="E172"/>
  <c r="H172"/>
  <c r="E173"/>
  <c r="G173"/>
  <c r="E174"/>
  <c r="H174"/>
  <c r="E175"/>
  <c r="H175"/>
  <c r="E176"/>
  <c r="H176"/>
  <c r="C178"/>
  <c r="D178"/>
  <c r="F178"/>
  <c r="E181"/>
  <c r="H181"/>
  <c r="E182"/>
  <c r="H182"/>
  <c r="E183"/>
  <c r="H183"/>
  <c r="E184"/>
  <c r="H184"/>
  <c r="E185"/>
  <c r="H185"/>
  <c r="E186"/>
  <c r="H186"/>
  <c r="E187"/>
  <c r="H187"/>
  <c r="E188"/>
  <c r="G188"/>
  <c r="H188"/>
  <c r="E189"/>
  <c r="G189"/>
  <c r="G191"/>
  <c r="C191"/>
  <c r="D191"/>
  <c r="E191"/>
  <c r="F191"/>
  <c r="D194"/>
  <c r="E194"/>
  <c r="E195"/>
  <c r="H195"/>
  <c r="E196"/>
  <c r="G196"/>
  <c r="E197"/>
  <c r="G197"/>
  <c r="H197"/>
  <c r="E198"/>
  <c r="G198"/>
  <c r="H198"/>
  <c r="E199"/>
  <c r="G199"/>
  <c r="H199"/>
  <c r="E200"/>
  <c r="H200"/>
  <c r="E201"/>
  <c r="G201"/>
  <c r="E202"/>
  <c r="G202"/>
  <c r="H202"/>
  <c r="E203"/>
  <c r="G203"/>
  <c r="H203"/>
  <c r="E204"/>
  <c r="H204"/>
  <c r="E205"/>
  <c r="H205"/>
  <c r="E206"/>
  <c r="G206"/>
  <c r="H206"/>
  <c r="E207"/>
  <c r="G207"/>
  <c r="E208"/>
  <c r="G208"/>
  <c r="H208"/>
  <c r="E209"/>
  <c r="G209"/>
  <c r="E210"/>
  <c r="G210"/>
  <c r="C212"/>
  <c r="C214"/>
  <c r="D212"/>
  <c r="F212"/>
  <c r="F214"/>
  <c r="D214"/>
  <c r="E217"/>
  <c r="H217"/>
  <c r="E218"/>
  <c r="H218"/>
  <c r="E219"/>
  <c r="H219"/>
  <c r="D220"/>
  <c r="E220"/>
  <c r="H220"/>
  <c r="E221"/>
  <c r="H221"/>
  <c r="E222"/>
  <c r="H222"/>
  <c r="E223"/>
  <c r="H223"/>
  <c r="E224"/>
  <c r="H224"/>
  <c r="E225"/>
  <c r="H225"/>
  <c r="D226"/>
  <c r="E226"/>
  <c r="E227"/>
  <c r="H227"/>
  <c r="E228"/>
  <c r="H228"/>
  <c r="E229"/>
  <c r="H229"/>
  <c r="E230"/>
  <c r="H230"/>
  <c r="E231"/>
  <c r="H231"/>
  <c r="E232"/>
  <c r="H232"/>
  <c r="C234"/>
  <c r="F234"/>
  <c r="G234"/>
  <c r="E237"/>
  <c r="H237"/>
  <c r="E238"/>
  <c r="H238"/>
  <c r="E239"/>
  <c r="G239"/>
  <c r="E240"/>
  <c r="H240"/>
  <c r="E241"/>
  <c r="H241"/>
  <c r="E242"/>
  <c r="G242"/>
  <c r="H242"/>
  <c r="E243"/>
  <c r="H243"/>
  <c r="E244"/>
  <c r="H244"/>
  <c r="E245"/>
  <c r="G245"/>
  <c r="E246"/>
  <c r="H246"/>
  <c r="E247"/>
  <c r="H247"/>
  <c r="E248"/>
  <c r="H248"/>
  <c r="E249"/>
  <c r="H249"/>
  <c r="E250"/>
  <c r="H250"/>
  <c r="C252"/>
  <c r="D252"/>
  <c r="F252"/>
  <c r="E255"/>
  <c r="H255"/>
  <c r="E256"/>
  <c r="H256"/>
  <c r="E257"/>
  <c r="H257"/>
  <c r="E258"/>
  <c r="H258"/>
  <c r="E259"/>
  <c r="H259"/>
  <c r="E260"/>
  <c r="H260"/>
  <c r="E261"/>
  <c r="H261"/>
  <c r="E262"/>
  <c r="H262"/>
  <c r="E263"/>
  <c r="H263"/>
  <c r="E264"/>
  <c r="H264"/>
  <c r="E265"/>
  <c r="H265"/>
  <c r="E266"/>
  <c r="H266"/>
  <c r="E267"/>
  <c r="H267"/>
  <c r="E268"/>
  <c r="G268"/>
  <c r="H268"/>
  <c r="E269"/>
  <c r="H269"/>
  <c r="E270"/>
  <c r="H270"/>
  <c r="E271"/>
  <c r="H271"/>
  <c r="E272"/>
  <c r="H272"/>
  <c r="E273"/>
  <c r="H273"/>
  <c r="E274"/>
  <c r="H274"/>
  <c r="E275"/>
  <c r="G275"/>
  <c r="E276"/>
  <c r="H276"/>
  <c r="E277"/>
  <c r="H277"/>
  <c r="C279"/>
  <c r="D279"/>
  <c r="E279"/>
  <c r="F279"/>
  <c r="G279"/>
  <c r="E282"/>
  <c r="H282"/>
  <c r="E283"/>
  <c r="H283"/>
  <c r="D284"/>
  <c r="E284"/>
  <c r="E285"/>
  <c r="H285"/>
  <c r="E286"/>
  <c r="H286"/>
  <c r="E287"/>
  <c r="H287"/>
  <c r="E288"/>
  <c r="H288"/>
  <c r="E289"/>
  <c r="H289"/>
  <c r="E290"/>
  <c r="H290"/>
  <c r="E291"/>
  <c r="H291"/>
  <c r="C293"/>
  <c r="D293"/>
  <c r="F293"/>
  <c r="G293"/>
  <c r="E296"/>
  <c r="H296"/>
  <c r="E297"/>
  <c r="H297"/>
  <c r="E298"/>
  <c r="H298"/>
  <c r="E299"/>
  <c r="H299"/>
  <c r="E300"/>
  <c r="H300"/>
  <c r="E301"/>
  <c r="H301"/>
  <c r="E302"/>
  <c r="H302"/>
  <c r="E303"/>
  <c r="H303"/>
  <c r="E304"/>
  <c r="H304"/>
  <c r="E305"/>
  <c r="H305"/>
  <c r="E306"/>
  <c r="H306"/>
  <c r="E307"/>
  <c r="H307"/>
  <c r="E308"/>
  <c r="H308"/>
  <c r="E309"/>
  <c r="H309"/>
  <c r="E310"/>
  <c r="H310"/>
  <c r="E311"/>
  <c r="H311"/>
  <c r="E312"/>
  <c r="H312"/>
  <c r="E313"/>
  <c r="H313"/>
  <c r="E314"/>
  <c r="H314"/>
  <c r="E315"/>
  <c r="H315"/>
  <c r="E316"/>
  <c r="H316"/>
  <c r="E317"/>
  <c r="H317"/>
  <c r="E318"/>
  <c r="H318"/>
  <c r="C320"/>
  <c r="D320"/>
  <c r="E320"/>
  <c r="F320"/>
  <c r="G320"/>
  <c r="E323"/>
  <c r="H323"/>
  <c r="E324"/>
  <c r="H324"/>
  <c r="E325"/>
  <c r="H325"/>
  <c r="D326"/>
  <c r="E326"/>
  <c r="H326"/>
  <c r="E327"/>
  <c r="H327"/>
  <c r="E328"/>
  <c r="H328"/>
  <c r="E329"/>
  <c r="H329"/>
  <c r="E330"/>
  <c r="H330"/>
  <c r="E331"/>
  <c r="G331"/>
  <c r="H331"/>
  <c r="E332"/>
  <c r="H332"/>
  <c r="E333"/>
  <c r="H333"/>
  <c r="E334"/>
  <c r="H334"/>
  <c r="E335"/>
  <c r="H335"/>
  <c r="D336"/>
  <c r="E336"/>
  <c r="H336"/>
  <c r="E337"/>
  <c r="H337"/>
  <c r="E338"/>
  <c r="H338"/>
  <c r="E339"/>
  <c r="H339"/>
  <c r="E340"/>
  <c r="H340"/>
  <c r="E341"/>
  <c r="G341"/>
  <c r="H341"/>
  <c r="C343"/>
  <c r="F343"/>
  <c r="E346"/>
  <c r="H346"/>
  <c r="E347"/>
  <c r="H347"/>
  <c r="E348"/>
  <c r="H348"/>
  <c r="E349"/>
  <c r="H349"/>
  <c r="E350"/>
  <c r="H350"/>
  <c r="E351"/>
  <c r="H351"/>
  <c r="E352"/>
  <c r="H352"/>
  <c r="E353"/>
  <c r="H353"/>
  <c r="E354"/>
  <c r="H354"/>
  <c r="E355"/>
  <c r="H355"/>
  <c r="E356"/>
  <c r="H356"/>
  <c r="E357"/>
  <c r="H357"/>
  <c r="E358"/>
  <c r="H358"/>
  <c r="E359"/>
  <c r="H359"/>
  <c r="E360"/>
  <c r="H360"/>
  <c r="E361"/>
  <c r="H361"/>
  <c r="E362"/>
  <c r="H362"/>
  <c r="E363"/>
  <c r="H363"/>
  <c r="E364"/>
  <c r="H364"/>
  <c r="E365"/>
  <c r="H365"/>
  <c r="E366"/>
  <c r="H366"/>
  <c r="E367"/>
  <c r="H367"/>
  <c r="E368"/>
  <c r="H368"/>
  <c r="E369"/>
  <c r="H369"/>
  <c r="E370"/>
  <c r="H370"/>
  <c r="E371"/>
  <c r="H371"/>
  <c r="E372"/>
  <c r="H372"/>
  <c r="E373"/>
  <c r="H373"/>
  <c r="E374"/>
  <c r="H374"/>
  <c r="E375"/>
  <c r="H375"/>
  <c r="E376"/>
  <c r="H376"/>
  <c r="E377"/>
  <c r="H377"/>
  <c r="E378"/>
  <c r="H378"/>
  <c r="E379"/>
  <c r="F379"/>
  <c r="E380"/>
  <c r="H380"/>
  <c r="E381"/>
  <c r="H381"/>
  <c r="H382"/>
  <c r="E383"/>
  <c r="H383"/>
  <c r="C385"/>
  <c r="D385"/>
  <c r="F385"/>
  <c r="G385"/>
  <c r="H389"/>
  <c r="H82"/>
  <c r="F387"/>
  <c r="F391"/>
  <c r="C387"/>
  <c r="C391"/>
  <c r="E178"/>
  <c r="E72"/>
  <c r="G252"/>
  <c r="H210"/>
  <c r="H209"/>
  <c r="H86"/>
  <c r="H85"/>
  <c r="H320"/>
  <c r="H191"/>
  <c r="H379"/>
  <c r="H385"/>
  <c r="G343"/>
  <c r="D343"/>
  <c r="H275"/>
  <c r="H239"/>
  <c r="D234"/>
  <c r="D387"/>
  <c r="D391"/>
  <c r="H207"/>
  <c r="H201"/>
  <c r="H196"/>
  <c r="H189"/>
  <c r="G178"/>
  <c r="H173"/>
  <c r="H153"/>
  <c r="H148"/>
  <c r="H142"/>
  <c r="H132"/>
  <c r="G127"/>
  <c r="E127"/>
  <c r="H108"/>
  <c r="G100"/>
  <c r="E100"/>
  <c r="H97"/>
  <c r="H88"/>
  <c r="H100"/>
  <c r="H54"/>
  <c r="E252"/>
  <c r="H245"/>
  <c r="H252"/>
  <c r="E19"/>
  <c r="H19"/>
  <c r="H284"/>
  <c r="E293"/>
  <c r="H226"/>
  <c r="E234"/>
  <c r="H194"/>
  <c r="E212"/>
  <c r="E214"/>
  <c r="H343"/>
  <c r="H279"/>
  <c r="H234"/>
  <c r="H178"/>
  <c r="H293"/>
  <c r="H127"/>
  <c r="H72"/>
  <c r="E385"/>
  <c r="E343"/>
  <c r="G212"/>
  <c r="G214"/>
  <c r="G387"/>
  <c r="G391"/>
  <c r="H212"/>
  <c r="H214"/>
  <c r="H387"/>
  <c r="H391"/>
  <c r="E387"/>
  <c r="E391"/>
</calcChain>
</file>

<file path=xl/comments1.xml><?xml version="1.0" encoding="utf-8"?>
<comments xmlns="http://schemas.openxmlformats.org/spreadsheetml/2006/main">
  <authors>
    <author>Matthees, Stacey L</author>
  </authors>
  <commentList>
    <comment ref="G239" authorId="0">
      <text>
        <r>
          <rPr>
            <b/>
            <sz val="8"/>
            <color indexed="81"/>
            <rFont val="Tahoma"/>
            <family val="2"/>
          </rPr>
          <t>Matthees, Stacey L:</t>
        </r>
        <r>
          <rPr>
            <sz val="8"/>
            <color indexed="81"/>
            <rFont val="Tahoma"/>
            <family val="2"/>
          </rPr>
          <t xml:space="preserve">
Trf $6K to 211010 per DG 9/22/08
Trf $16K (had been fenced for student help) &amp; $9K to 211xxx per DG
</t>
        </r>
      </text>
    </comment>
  </commentList>
</comments>
</file>

<file path=xl/sharedStrings.xml><?xml version="1.0" encoding="utf-8"?>
<sst xmlns="http://schemas.openxmlformats.org/spreadsheetml/2006/main" count="457" uniqueCount="388">
  <si>
    <t>Athletics Graduate Assistants</t>
  </si>
  <si>
    <t>7903 Tuition Bad Debt Write-off</t>
  </si>
  <si>
    <t>All Univ Merit MMA &amp; MAPE</t>
  </si>
  <si>
    <t>All Univ $.10 Per Mile IFO</t>
  </si>
  <si>
    <t xml:space="preserve">Early Retirement Incentive </t>
  </si>
  <si>
    <t>PROVOST / ACADEMIC AFFAIRS</t>
  </si>
  <si>
    <t>Dean of Students</t>
  </si>
  <si>
    <t>West Campus Bus Service</t>
  </si>
  <si>
    <t>Groundskeeping</t>
  </si>
  <si>
    <t>Fiscal Affairs</t>
  </si>
  <si>
    <t>Financial Aid Title IV</t>
  </si>
  <si>
    <t>Revenue Fund Buildings Rent</t>
  </si>
  <si>
    <t>Attorney General's Office Fees</t>
  </si>
  <si>
    <t>Insurance/Tax General Fund Buildings</t>
  </si>
  <si>
    <t>Base Salary Probationary</t>
  </si>
  <si>
    <t>Rochester MnSCU Allocation</t>
  </si>
  <si>
    <t>Institutional Research</t>
  </si>
  <si>
    <t>Education Business</t>
  </si>
  <si>
    <t>Faculty and Staff Laptops</t>
  </si>
  <si>
    <t>PSEO Laptops</t>
  </si>
  <si>
    <t>Communications</t>
  </si>
  <si>
    <t>0831 Workers Compensation</t>
  </si>
  <si>
    <t>HLC Accreditation</t>
  </si>
  <si>
    <t>TV Services</t>
  </si>
  <si>
    <t>Women's Studies</t>
  </si>
  <si>
    <t>Rochester Women's Studies</t>
  </si>
  <si>
    <t>Rochester Social Work</t>
  </si>
  <si>
    <t>Rochester Art</t>
  </si>
  <si>
    <t>Rochester Psychology</t>
  </si>
  <si>
    <t>Rochester Music</t>
  </si>
  <si>
    <t>Rochester Math &amp; Statistics</t>
  </si>
  <si>
    <t>Rochester Computer Science</t>
  </si>
  <si>
    <t>Rochester Chemistry</t>
  </si>
  <si>
    <t>Rochester Biology</t>
  </si>
  <si>
    <t>Rochester Diversity/Multicultural</t>
  </si>
  <si>
    <t>Rochester Marketing/Public Relations</t>
  </si>
  <si>
    <t>Rochester Outreach</t>
  </si>
  <si>
    <t>Rochester Accounting</t>
  </si>
  <si>
    <t>Rochester Business Administration</t>
  </si>
  <si>
    <t>Rochester Economics/Finance</t>
  </si>
  <si>
    <t>Rochester Counsel Education</t>
  </si>
  <si>
    <t>Rochester Education</t>
  </si>
  <si>
    <t>Rochester Education Leadership</t>
  </si>
  <si>
    <t>AAEO College Business</t>
  </si>
  <si>
    <t>AAEO College Education</t>
  </si>
  <si>
    <t>AAEO College Liberal Arts</t>
  </si>
  <si>
    <t>AAEO College Nursing &amp; Health</t>
  </si>
  <si>
    <t>AAEO College Science Engineering</t>
  </si>
  <si>
    <t>AACSB Accreditation</t>
  </si>
  <si>
    <t>SUBTOTAL LIBRARY</t>
  </si>
  <si>
    <t>LIBRARY</t>
  </si>
  <si>
    <t xml:space="preserve"> LIBRARY</t>
  </si>
  <si>
    <t xml:space="preserve"> COLLEGE OF NURSING &amp; HEALTH SCIENCES</t>
  </si>
  <si>
    <t>College of Science &amp; Engineering Reserve</t>
  </si>
  <si>
    <t>VP Finance And Administrative Services</t>
  </si>
  <si>
    <t>VP Finance Reserve (Ot 0140,$6,000&amp;0150 $2,000))</t>
  </si>
  <si>
    <t>Advising Services</t>
  </si>
  <si>
    <t>VP of Student Life and Development</t>
  </si>
  <si>
    <t>MnSCU On-Line Credit Fee</t>
  </si>
  <si>
    <t>State Workstudy Match-Rochester</t>
  </si>
  <si>
    <t>Vacation Liquidations</t>
  </si>
  <si>
    <t>Equipment Holding</t>
  </si>
  <si>
    <t>Residential College Lease</t>
  </si>
  <si>
    <t>University Professional Development</t>
  </si>
  <si>
    <t>Presidents Special Projects</t>
  </si>
  <si>
    <t>ACADEMIC AFFAIRS</t>
  </si>
  <si>
    <t>SID Women's Athletics</t>
  </si>
  <si>
    <t>SID Men's Athletics</t>
  </si>
  <si>
    <t>Provost</t>
  </si>
  <si>
    <t>Outreach And Continuing Education Dept</t>
  </si>
  <si>
    <t>Rochester MISO</t>
  </si>
  <si>
    <t>Rochester Education Foundation, Research &amp; Tech</t>
  </si>
  <si>
    <t>Rochester Child Advocacy</t>
  </si>
  <si>
    <t>Rochester Communication Studies</t>
  </si>
  <si>
    <t>Rochester Political Science</t>
  </si>
  <si>
    <t>Rochester History</t>
  </si>
  <si>
    <t>Rochester Sociology</t>
  </si>
  <si>
    <t>Rochester English</t>
  </si>
  <si>
    <t>Rochester Geography</t>
  </si>
  <si>
    <t>Rochester Criminal Justice</t>
  </si>
  <si>
    <t>Doctorate In Educational Leadership</t>
  </si>
  <si>
    <t>Educational Leadership</t>
  </si>
  <si>
    <t>Physical Education &amp; Sports Science (Pess)</t>
  </si>
  <si>
    <t>Recreation, Tourism &amp; Therapeutic Recreation (Rttr)</t>
  </si>
  <si>
    <t>Educational Foundations, Research, Tech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</si>
  <si>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</si>
  <si>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</si>
  <si>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</si>
  <si>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</si>
  <si>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</si>
  <si>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</si>
  <si>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</si>
  <si>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Rochester Special Education</t>
  </si>
  <si>
    <t>Rochester Per</t>
  </si>
  <si>
    <t>Business Administration</t>
  </si>
  <si>
    <t>Economics &amp; Finance</t>
  </si>
  <si>
    <t>College Of Business Reserve</t>
  </si>
  <si>
    <t>Dean Of Business</t>
  </si>
  <si>
    <t>Rochester Marketing</t>
  </si>
  <si>
    <t>Library Operations</t>
  </si>
  <si>
    <t>Library Administration</t>
  </si>
  <si>
    <t>Dean Library Reserve</t>
  </si>
  <si>
    <t>Library Equipment Special</t>
  </si>
  <si>
    <t>Rochester Library (1870)</t>
  </si>
  <si>
    <t>Account Name</t>
  </si>
  <si>
    <t>Account</t>
  </si>
  <si>
    <t>Number</t>
  </si>
  <si>
    <t>% of Total</t>
  </si>
  <si>
    <t>Library Acquisitions (3210)</t>
  </si>
  <si>
    <t>Alumni Affairs</t>
  </si>
  <si>
    <t>Phone A Thon</t>
  </si>
  <si>
    <t>Women's Athletics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</si>
  <si>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</si>
  <si>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</si>
  <si>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</si>
  <si>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</si>
  <si>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</si>
  <si>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</si>
  <si>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</si>
  <si>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</si>
  <si>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</si>
  <si>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Men's Athletics</t>
  </si>
  <si>
    <t>Men's Basketball</t>
  </si>
  <si>
    <t>Men's Baseball</t>
  </si>
  <si>
    <t>Men's Football</t>
  </si>
  <si>
    <t>Men's Golf</t>
  </si>
  <si>
    <t>Men's Tennis</t>
  </si>
  <si>
    <t>NCAA Division 2</t>
  </si>
  <si>
    <t>Presidents Special Expense - MnSCU</t>
  </si>
  <si>
    <t>Graduate Assistants (0940)</t>
  </si>
  <si>
    <t>Graduate Office</t>
  </si>
  <si>
    <t>Grants &amp; Sponsored Projects Office</t>
  </si>
  <si>
    <t>WSU Catalogue</t>
  </si>
  <si>
    <t>Associate VP</t>
  </si>
  <si>
    <t>Student Research Grants</t>
  </si>
  <si>
    <t>Assoc VP Assess/Graduate</t>
  </si>
  <si>
    <t>Rochester Academic Program Development</t>
  </si>
  <si>
    <t>IFO President</t>
  </si>
  <si>
    <t>OCED Adjunct</t>
  </si>
  <si>
    <t>WSU Education Alliance</t>
  </si>
  <si>
    <t>Maxwell Children's Center</t>
  </si>
  <si>
    <t>COLLEGE OF NURSING &amp; HEALTH SCIENCES</t>
  </si>
  <si>
    <t xml:space="preserve"> SUBTOTAL COLLEGE OF NURSING &amp; HEALTH SCIENCES</t>
  </si>
  <si>
    <t>FACILITIES</t>
  </si>
  <si>
    <t>TOTAL FACILITIES</t>
  </si>
  <si>
    <t>Classified Searches</t>
  </si>
  <si>
    <t>Sexual Harassment</t>
  </si>
  <si>
    <t>Building Maintenance</t>
  </si>
  <si>
    <t>Maintenance Reserve (Ot 0140 $4,000, 0150 $14,000)</t>
  </si>
  <si>
    <t>Mail Room</t>
  </si>
  <si>
    <t>Supply Room</t>
  </si>
  <si>
    <t>R&amp;B General</t>
  </si>
  <si>
    <t>R&amp;B Maintenance</t>
  </si>
  <si>
    <t>Athletic Training</t>
  </si>
  <si>
    <t>Cheer Team</t>
  </si>
  <si>
    <t>Freshman Orientation</t>
  </si>
  <si>
    <t>Summer Appeals Review</t>
  </si>
  <si>
    <t>Career Services</t>
  </si>
  <si>
    <t>Financial Aid</t>
  </si>
  <si>
    <t>Counseling Center</t>
  </si>
  <si>
    <t>Family Day</t>
  </si>
  <si>
    <t>Student Life Reserve(0140 $6,500)</t>
  </si>
  <si>
    <t>Student Service Accommodation</t>
  </si>
  <si>
    <t>Cross-Cultural Outreach</t>
  </si>
  <si>
    <t>Answering Center</t>
  </si>
  <si>
    <t>Community Liaison</t>
  </si>
  <si>
    <t>Warrior Hub</t>
  </si>
  <si>
    <t>Tutoring &amp; Supplemental Instruction</t>
  </si>
  <si>
    <t>Inclusion And Diversity</t>
  </si>
  <si>
    <t>Its Operations Academic</t>
  </si>
  <si>
    <t>Systems And Development</t>
  </si>
  <si>
    <t>Tech Support Operations</t>
  </si>
  <si>
    <t>Its Staff Development</t>
  </si>
  <si>
    <t>Media Services</t>
  </si>
  <si>
    <t>Classroom Support</t>
  </si>
  <si>
    <t>Its Operations Administration</t>
  </si>
  <si>
    <t>Reserve (Ot 0140 $2K, 0150 $1K)</t>
  </si>
  <si>
    <t>Reserve Advancement (Ot  0140)</t>
  </si>
  <si>
    <t>University Advancement</t>
  </si>
  <si>
    <t>Annual Fund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</si>
  <si>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</si>
  <si>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</si>
  <si>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</si>
  <si>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</si>
  <si>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</si>
  <si>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</si>
  <si>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Dean Of Science &amp; Engineering</t>
  </si>
  <si>
    <t>Computer Science</t>
  </si>
  <si>
    <t>Math &amp; Statistics</t>
  </si>
  <si>
    <t>Science Education</t>
  </si>
  <si>
    <t>Stem Partnership Development</t>
  </si>
  <si>
    <t>Rochester Physics</t>
  </si>
  <si>
    <t>Dean Of Nursing</t>
  </si>
  <si>
    <t>College Of Nursing Reserve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</si>
  <si>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</si>
  <si>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</si>
  <si>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</si>
  <si>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</si>
  <si>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</si>
  <si>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Residential College</t>
  </si>
  <si>
    <t>Arts Administrator</t>
  </si>
  <si>
    <t>Art Gallery</t>
  </si>
  <si>
    <t>Stage Management</t>
  </si>
  <si>
    <t>Pep Band</t>
  </si>
  <si>
    <t>College Of Liberal Arts Reserve</t>
  </si>
  <si>
    <t>Foreign Language</t>
  </si>
  <si>
    <t>Political Science</t>
  </si>
  <si>
    <t>Arts Management</t>
  </si>
  <si>
    <t>Child Advocacy</t>
  </si>
  <si>
    <t>Criminal Justice</t>
  </si>
  <si>
    <t>Social Work</t>
  </si>
  <si>
    <t>Communication Studies</t>
  </si>
  <si>
    <t>Mass Communications</t>
  </si>
  <si>
    <t>Global Studies</t>
  </si>
  <si>
    <t>Print Media Lab</t>
  </si>
  <si>
    <t>Dean Of Liberal Arts</t>
  </si>
  <si>
    <t>Rochester Global Studies</t>
  </si>
  <si>
    <t>Rochester Mass Communication</t>
  </si>
  <si>
    <t>Rochester Foreign Language</t>
  </si>
  <si>
    <t>Chargebacks</t>
  </si>
  <si>
    <t>Safety</t>
  </si>
  <si>
    <t>HBV</t>
  </si>
  <si>
    <t>Generators</t>
  </si>
  <si>
    <t>Memberships</t>
  </si>
  <si>
    <t>Workstudy</t>
  </si>
  <si>
    <t>Presidents Office</t>
  </si>
  <si>
    <t>Presidents Discretionary</t>
  </si>
  <si>
    <t>Consortium Agreement</t>
  </si>
  <si>
    <t>Presidents Reserve (Ot 0140)</t>
  </si>
  <si>
    <t>Affirmative Action</t>
  </si>
  <si>
    <t>215001</t>
  </si>
  <si>
    <t>215002</t>
  </si>
  <si>
    <t>215003</t>
  </si>
  <si>
    <t>215004</t>
  </si>
  <si>
    <t>215005</t>
  </si>
  <si>
    <t>215006</t>
  </si>
  <si>
    <t>215007</t>
  </si>
  <si>
    <t>215008</t>
  </si>
  <si>
    <t>University Studies</t>
  </si>
  <si>
    <t>Assessment Testing</t>
  </si>
  <si>
    <t>Research Data</t>
  </si>
  <si>
    <t>General Assessment Day</t>
  </si>
  <si>
    <t>Acceleration Grant</t>
  </si>
  <si>
    <t>Studies Abroad</t>
  </si>
  <si>
    <t>Reserve Academic Affairs (Ot 0140)</t>
  </si>
  <si>
    <t>Graduate Assistant Tuition (7042)</t>
  </si>
  <si>
    <t>Professional Development</t>
  </si>
  <si>
    <t>Sabbatical Replacement</t>
  </si>
  <si>
    <t>Assessment Coordinator</t>
  </si>
  <si>
    <t>Retiree Center</t>
  </si>
  <si>
    <t>Director International Studies</t>
  </si>
  <si>
    <t>Fixed Term Yearly</t>
  </si>
  <si>
    <t>Faculty Development Center</t>
  </si>
  <si>
    <t>Rochester-Technology Replacement</t>
  </si>
  <si>
    <t>Rochester Center</t>
  </si>
  <si>
    <t>Rochester Tuition Differential</t>
  </si>
  <si>
    <t>International Students</t>
  </si>
  <si>
    <t>Rochester/Winona Agreement</t>
  </si>
  <si>
    <t>Faculty Travel Rochester</t>
  </si>
  <si>
    <t>International Recruitment</t>
  </si>
  <si>
    <t>Academic Consultants Program Review</t>
  </si>
  <si>
    <t>Leadership Institute</t>
  </si>
  <si>
    <t>Athletics Faculty Representative</t>
  </si>
  <si>
    <t>Freshman Advising</t>
  </si>
  <si>
    <t>Summer School</t>
  </si>
  <si>
    <t>TOTAL FY2009 INCREASE/DECREASE OVER FY2010</t>
  </si>
  <si>
    <t>7043 Tuition Waiver Expense</t>
  </si>
  <si>
    <t>Fuel &amp; Utilities</t>
  </si>
  <si>
    <t>IFO Travel</t>
  </si>
  <si>
    <t>Debt Service</t>
  </si>
  <si>
    <t>IFO Professional Improvement</t>
  </si>
  <si>
    <t>Background Checks</t>
  </si>
  <si>
    <t>Athletic Scholarships</t>
  </si>
  <si>
    <t>Fine Arts Scholarships</t>
  </si>
  <si>
    <t>MSUAASF Travel</t>
  </si>
  <si>
    <t>PSEO Budget</t>
  </si>
  <si>
    <t>State Workstudy Match</t>
  </si>
  <si>
    <t>MSUAASF Grants</t>
  </si>
  <si>
    <t>All Univ Severance Payoff</t>
  </si>
  <si>
    <t>All Univ Vacation Payoff</t>
  </si>
  <si>
    <t>All Univ Promotions</t>
  </si>
  <si>
    <t>All Univ Merit Commissioners  Plan</t>
  </si>
  <si>
    <t>All Univ Sick Leave Replacement</t>
  </si>
  <si>
    <t>0845 Insurance Early Separation</t>
  </si>
  <si>
    <t>0820 Unemployment</t>
  </si>
  <si>
    <t>Security Services</t>
  </si>
  <si>
    <t>Employee Assistance</t>
  </si>
  <si>
    <t>Employee Relocation</t>
  </si>
  <si>
    <t>Environmental Services</t>
  </si>
  <si>
    <t>ASF/IFO Searches</t>
  </si>
  <si>
    <t>Audit Expenses</t>
  </si>
  <si>
    <t>Perkins Collection</t>
  </si>
  <si>
    <t>Business Office</t>
  </si>
  <si>
    <t>Human Resources</t>
  </si>
  <si>
    <t>Affirmative Action (0998)</t>
  </si>
  <si>
    <t>Faculty/Staff Training</t>
  </si>
  <si>
    <t>Legal Affairs</t>
  </si>
  <si>
    <t xml:space="preserve"> </t>
  </si>
  <si>
    <t xml:space="preserve">Fringe </t>
  </si>
  <si>
    <t>Equipment</t>
  </si>
  <si>
    <t xml:space="preserve"> S &amp; E</t>
  </si>
  <si>
    <t>TOTAL</t>
  </si>
  <si>
    <t>Unclassified</t>
  </si>
  <si>
    <t>Classified</t>
  </si>
  <si>
    <t>Base</t>
  </si>
  <si>
    <t>100% Base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</si>
  <si>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</si>
  <si>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</si>
  <si>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</si>
  <si>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</si>
  <si>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</si>
  <si>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</si>
  <si>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</si>
  <si>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</si>
  <si>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>WSU ALL UNIVERSITY</t>
  </si>
  <si>
    <t>TOTAL WSU ALL UNIVERSITY</t>
  </si>
  <si>
    <t>Fringe</t>
  </si>
  <si>
    <t>GRAND TOTAL</t>
  </si>
  <si>
    <t>UNIVERSITY ADVANCEMENT</t>
  </si>
  <si>
    <t>TOTAL UNIVERSITY ADVANCEMENT</t>
  </si>
  <si>
    <t>WINONA STATE UNIVERSITY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</si>
  <si>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</si>
  <si>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</si>
  <si>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</si>
  <si>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</si>
  <si>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</si>
  <si>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</si>
  <si>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</si>
  <si>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>INFORMATION TECHNOLOGY</t>
  </si>
  <si>
    <t xml:space="preserve"> COLLEGE OF BUSINESS</t>
  </si>
  <si>
    <t xml:space="preserve"> COLLEGE OF EDUCATION</t>
  </si>
  <si>
    <t xml:space="preserve"> COLLEGE OF LIBERAL ARTS</t>
  </si>
  <si>
    <t xml:space="preserve"> COLLEGE OF SCIENCE &amp; ENGINEERING </t>
  </si>
  <si>
    <t>SUMMARY OF TOTAL GENERAL FUND BUDGET</t>
  </si>
  <si>
    <t>FINANCE &amp; ADMINISTRATIVE SERVICES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</si>
  <si>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</si>
  <si>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</si>
  <si>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</si>
  <si>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</si>
  <si>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</si>
  <si>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FY2008 INITIAL INTERNAL BUDGET</t>
  </si>
  <si>
    <t>FY2009 INITIAL INTERNAL BUDGET</t>
  </si>
  <si>
    <t>FOR THE FISCAL YEAR ENDED JUNE 30, 2009</t>
  </si>
  <si>
    <t>FY 2009</t>
  </si>
  <si>
    <t>@ 31%</t>
  </si>
  <si>
    <t xml:space="preserve"> @ 31%</t>
  </si>
  <si>
    <t>ok</t>
  </si>
  <si>
    <t>OK</t>
  </si>
  <si>
    <t/>
  </si>
  <si>
    <t>Convocation</t>
  </si>
  <si>
    <t>Assessment</t>
  </si>
  <si>
    <t>Commencement</t>
  </si>
  <si>
    <t>A2C2</t>
  </si>
  <si>
    <t>Athletics</t>
  </si>
  <si>
    <t>MISO</t>
  </si>
  <si>
    <t>Accounting</t>
  </si>
  <si>
    <t>Marketing</t>
  </si>
  <si>
    <t>Education</t>
  </si>
  <si>
    <t>Psychology</t>
  </si>
  <si>
    <t>Art</t>
  </si>
  <si>
    <t>Music</t>
  </si>
  <si>
    <t>English</t>
  </si>
  <si>
    <t>Geography</t>
  </si>
  <si>
    <t>History</t>
  </si>
  <si>
    <t>Philosophy</t>
  </si>
  <si>
    <t>Sociology</t>
  </si>
  <si>
    <t>Theater/Dance</t>
  </si>
  <si>
    <t>KQAL</t>
  </si>
  <si>
    <t>Paralegal</t>
  </si>
  <si>
    <t>Nursing</t>
  </si>
  <si>
    <t>Engineering</t>
  </si>
  <si>
    <t>Geoscience</t>
  </si>
  <si>
    <t>Biology</t>
  </si>
  <si>
    <t>Chemistry</t>
  </si>
  <si>
    <t>Physics</t>
  </si>
  <si>
    <t>Printshop</t>
  </si>
  <si>
    <t>Publications</t>
  </si>
  <si>
    <t>Retirees/Tailgate</t>
  </si>
  <si>
    <t>Sesquicentennial</t>
  </si>
  <si>
    <t>Computer-Rochester</t>
  </si>
  <si>
    <t>E-Learning</t>
  </si>
  <si>
    <t>Admissions</t>
  </si>
  <si>
    <t>Registrars</t>
  </si>
  <si>
    <t>DARS</t>
  </si>
  <si>
    <t>Wellness</t>
  </si>
  <si>
    <t>Intramurals</t>
  </si>
  <si>
    <t>Custodial</t>
  </si>
  <si>
    <t>Vehicle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</si>
</sst>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%"/>
  </numFmts>
  <fonts count="9">
    <font>
      <sz val="10"/>
      <name val="Times New Roman"/>
    </font>
    <font>
      <sz val="10"/>
      <name val="Times New Roman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1" fontId="5" fillId="0" borderId="0" xfId="0" quotePrefix="1" applyNumberFormat="1" applyFont="1" applyAlignment="1">
      <alignment horizontal="center" vertical="center"/>
    </xf>
    <xf numFmtId="2" fontId="5" fillId="0" borderId="0" xfId="0" quotePrefix="1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/>
    <xf numFmtId="0" fontId="5" fillId="0" borderId="0" xfId="0" applyFont="1"/>
    <xf numFmtId="0" fontId="5" fillId="0" borderId="0" xfId="0" quotePrefix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2" fontId="5" fillId="0" borderId="0" xfId="0" applyNumberFormat="1" applyFont="1"/>
    <xf numFmtId="38" fontId="6" fillId="0" borderId="0" xfId="0" applyNumberFormat="1" applyFont="1"/>
    <xf numFmtId="164" fontId="6" fillId="0" borderId="0" xfId="2" applyNumberFormat="1" applyFont="1"/>
    <xf numFmtId="164" fontId="6" fillId="0" borderId="0" xfId="0" applyNumberFormat="1" applyFont="1"/>
    <xf numFmtId="164" fontId="6" fillId="0" borderId="3" xfId="2" applyNumberFormat="1" applyFont="1" applyBorder="1"/>
    <xf numFmtId="164" fontId="6" fillId="0" borderId="3" xfId="0" applyNumberFormat="1" applyFont="1" applyBorder="1"/>
    <xf numFmtId="164" fontId="6" fillId="0" borderId="0" xfId="0" applyNumberFormat="1" applyFont="1" applyAlignment="1">
      <alignment horizontal="center"/>
    </xf>
    <xf numFmtId="164" fontId="6" fillId="2" borderId="0" xfId="2" applyNumberFormat="1" applyFont="1" applyFill="1"/>
    <xf numFmtId="164" fontId="6" fillId="2" borderId="0" xfId="0" applyNumberFormat="1" applyFont="1" applyFill="1"/>
    <xf numFmtId="164" fontId="6" fillId="0" borderId="0" xfId="1" applyNumberFormat="1" applyFont="1"/>
    <xf numFmtId="164" fontId="6" fillId="0" borderId="0" xfId="0" applyNumberFormat="1" applyFont="1" applyFill="1"/>
    <xf numFmtId="164" fontId="6" fillId="0" borderId="0" xfId="2" applyNumberFormat="1" applyFont="1" applyFill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4" fontId="7" fillId="0" borderId="0" xfId="2" applyNumberFormat="1" applyFont="1" applyFill="1"/>
    <xf numFmtId="8" fontId="6" fillId="0" borderId="0" xfId="0" applyNumberFormat="1" applyFont="1"/>
    <xf numFmtId="164" fontId="5" fillId="0" borderId="2" xfId="0" applyNumberFormat="1" applyFont="1" applyBorder="1"/>
    <xf numFmtId="164" fontId="5" fillId="0" borderId="2" xfId="2" applyNumberFormat="1" applyFont="1" applyBorder="1"/>
    <xf numFmtId="164" fontId="8" fillId="0" borderId="0" xfId="2" applyNumberFormat="1" applyFont="1"/>
    <xf numFmtId="164" fontId="6" fillId="3" borderId="0" xfId="0" applyNumberFormat="1" applyFont="1" applyFill="1"/>
    <xf numFmtId="2" fontId="5" fillId="0" borderId="0" xfId="0" applyNumberFormat="1" applyFont="1" applyAlignment="1">
      <alignment horizontal="right"/>
    </xf>
    <xf numFmtId="8" fontId="6" fillId="0" borderId="0" xfId="2" applyNumberFormat="1" applyFont="1"/>
    <xf numFmtId="166" fontId="6" fillId="0" borderId="0" xfId="1" applyFont="1"/>
    <xf numFmtId="2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168" fontId="6" fillId="0" borderId="0" xfId="3" applyNumberFormat="1" applyFont="1"/>
    <xf numFmtId="167" fontId="6" fillId="0" borderId="0" xfId="1" applyNumberFormat="1" applyFont="1"/>
    <xf numFmtId="3" fontId="6" fillId="0" borderId="0" xfId="0" applyNumberFormat="1" applyFont="1"/>
    <xf numFmtId="0" fontId="6" fillId="0" borderId="3" xfId="0" applyFont="1" applyBorder="1"/>
    <xf numFmtId="3" fontId="6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5" fillId="0" borderId="2" xfId="0" applyFont="1" applyBorder="1"/>
    <xf numFmtId="3" fontId="5" fillId="0" borderId="0" xfId="0" applyNumberFormat="1" applyFont="1" applyBorder="1"/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H31"/>
  <sheetViews>
    <sheetView tabSelected="1" topLeftCell="A27" workbookViewId="0">
      <selection activeCell="G31" sqref="G31"/>
    </sheetView>
  </sheetViews>
  <sheetFormatPr baseColWidth="10" defaultColWidth="8.83203125" defaultRowHeight="14"/>
  <cols>
    <col min="1" max="1" width="40.1640625" style="1" bestFit="1" customWidth="1"/>
    <col min="2" max="2" width="13.5" style="1" bestFit="1" customWidth="1"/>
    <col min="3" max="3" width="12.1640625" style="1" bestFit="1" customWidth="1"/>
    <col min="4" max="4" width="13.5" style="1" bestFit="1" customWidth="1"/>
    <col min="5" max="5" width="12.1640625" style="1" bestFit="1" customWidth="1"/>
    <col min="6" max="7" width="13.5" style="1" bestFit="1" customWidth="1"/>
    <col min="8" max="8" width="10.1640625" style="1" bestFit="1" customWidth="1"/>
    <col min="9" max="9" width="8.83203125" style="1"/>
    <col min="10" max="11" width="16.6640625" style="1" customWidth="1"/>
    <col min="12" max="16384" width="8.83203125" style="1"/>
  </cols>
  <sheetData>
    <row r="1" spans="1:8" ht="15" customHeight="1">
      <c r="A1" s="56" t="s">
        <v>320</v>
      </c>
      <c r="B1" s="56"/>
      <c r="C1" s="56"/>
      <c r="D1" s="56"/>
      <c r="E1" s="56"/>
      <c r="F1" s="56"/>
      <c r="G1" s="56"/>
    </row>
    <row r="2" spans="1:8" ht="15" customHeight="1">
      <c r="A2" s="56" t="s">
        <v>333</v>
      </c>
      <c r="B2" s="56"/>
      <c r="C2" s="56"/>
      <c r="D2" s="56"/>
      <c r="E2" s="56"/>
      <c r="F2" s="56"/>
      <c r="G2" s="56"/>
    </row>
    <row r="3" spans="1:8" ht="15" customHeight="1">
      <c r="A3" s="56" t="s">
        <v>342</v>
      </c>
      <c r="B3" s="56"/>
      <c r="C3" s="56"/>
      <c r="D3" s="56"/>
      <c r="E3" s="56"/>
      <c r="F3" s="56"/>
      <c r="G3" s="56"/>
    </row>
    <row r="4" spans="1:8" ht="15" customHeight="1">
      <c r="A4" s="4" t="s">
        <v>297</v>
      </c>
      <c r="B4" s="4" t="s">
        <v>297</v>
      </c>
      <c r="C4" s="4"/>
      <c r="D4" s="4"/>
      <c r="E4" s="4"/>
      <c r="F4" s="4"/>
      <c r="G4" s="4"/>
    </row>
    <row r="5" spans="1:8" ht="15" customHeight="1">
      <c r="A5" s="4"/>
      <c r="B5" s="4"/>
      <c r="C5" s="4"/>
      <c r="D5" s="4"/>
      <c r="E5" s="43" t="s">
        <v>343</v>
      </c>
      <c r="F5" s="43" t="s">
        <v>343</v>
      </c>
      <c r="G5" s="43" t="s">
        <v>343</v>
      </c>
    </row>
    <row r="6" spans="1:8" ht="15" customHeight="1">
      <c r="D6" s="44" t="s">
        <v>316</v>
      </c>
      <c r="E6" s="44" t="s">
        <v>299</v>
      </c>
      <c r="F6" s="43" t="s">
        <v>300</v>
      </c>
      <c r="G6" s="43" t="s">
        <v>301</v>
      </c>
    </row>
    <row r="7" spans="1:8" ht="15" customHeight="1">
      <c r="B7" s="45" t="s">
        <v>302</v>
      </c>
      <c r="C7" s="45" t="s">
        <v>303</v>
      </c>
      <c r="D7" s="45" t="s">
        <v>345</v>
      </c>
      <c r="E7" s="45" t="s">
        <v>304</v>
      </c>
      <c r="F7" s="46" t="s">
        <v>305</v>
      </c>
      <c r="G7" s="46" t="s">
        <v>304</v>
      </c>
      <c r="H7" s="1" t="s">
        <v>107</v>
      </c>
    </row>
    <row r="8" spans="1:8" ht="15" customHeight="1">
      <c r="D8" s="9"/>
      <c r="E8" s="12"/>
      <c r="F8" s="47"/>
      <c r="G8" s="10"/>
    </row>
    <row r="9" spans="1:8" ht="15" customHeight="1">
      <c r="A9" s="1" t="s">
        <v>306</v>
      </c>
      <c r="B9" s="22">
        <f>+Winona!C19</f>
        <v>0</v>
      </c>
      <c r="C9" s="22">
        <f>+Winona!D19</f>
        <v>139744</v>
      </c>
      <c r="D9" s="22">
        <f>+Winona!E19</f>
        <v>43320.639999999999</v>
      </c>
      <c r="E9" s="22">
        <f>+Winona!F19</f>
        <v>0</v>
      </c>
      <c r="F9" s="22">
        <f>+Winona!G19</f>
        <v>142381</v>
      </c>
      <c r="G9" s="22">
        <f>+Winona!H19</f>
        <v>325445.64</v>
      </c>
      <c r="H9" s="48">
        <f>G9/($G$29-$G$27)</f>
        <v>4.7058852313775022E-3</v>
      </c>
    </row>
    <row r="10" spans="1:8" ht="11.25" customHeight="1">
      <c r="B10" s="22"/>
      <c r="C10" s="22"/>
      <c r="D10" s="22"/>
      <c r="E10" s="22"/>
      <c r="F10" s="22"/>
      <c r="G10" s="22"/>
      <c r="H10" s="48" t="s">
        <v>297</v>
      </c>
    </row>
    <row r="11" spans="1:8" ht="15" customHeight="1">
      <c r="A11" s="1" t="s">
        <v>5</v>
      </c>
      <c r="B11" s="49">
        <f>+Winona!C72</f>
        <v>4237223.5</v>
      </c>
      <c r="C11" s="49">
        <f>+Winona!D72</f>
        <v>684094.36</v>
      </c>
      <c r="D11" s="49">
        <f>+Winona!E72</f>
        <v>1525608.5365999998</v>
      </c>
      <c r="E11" s="49">
        <f>+Winona!F72</f>
        <v>10000</v>
      </c>
      <c r="F11" s="49">
        <f>+Winona!G72</f>
        <v>1745487.47</v>
      </c>
      <c r="G11" s="49">
        <f>+Winona!H72</f>
        <v>8202413.8666000012</v>
      </c>
      <c r="H11" s="48">
        <f t="shared" ref="H11:H29" si="0">G11/($G$29-$G$27)</f>
        <v>0.11860542447727671</v>
      </c>
    </row>
    <row r="12" spans="1:8" ht="15" customHeight="1">
      <c r="A12" s="1" t="s">
        <v>51</v>
      </c>
      <c r="B12" s="49">
        <f>+Winona!C82</f>
        <v>743178.5</v>
      </c>
      <c r="C12" s="49">
        <f>+Winona!D82</f>
        <v>338965.21</v>
      </c>
      <c r="D12" s="49">
        <f>+Winona!E82</f>
        <v>335464.55009999999</v>
      </c>
      <c r="E12" s="49">
        <f>+Winona!F82</f>
        <v>0</v>
      </c>
      <c r="F12" s="49">
        <f>+Winona!G82</f>
        <v>1210849</v>
      </c>
      <c r="G12" s="49">
        <f>+Winona!H82</f>
        <v>2628457.2601000001</v>
      </c>
      <c r="H12" s="48">
        <f t="shared" si="0"/>
        <v>3.8007017705357998E-2</v>
      </c>
    </row>
    <row r="13" spans="1:8" ht="15" customHeight="1">
      <c r="A13" s="1" t="s">
        <v>329</v>
      </c>
      <c r="B13" s="49">
        <f>+Winona!C100</f>
        <v>4375680.5</v>
      </c>
      <c r="C13" s="49">
        <f>+Winona!D100</f>
        <v>126419.01999999999</v>
      </c>
      <c r="D13" s="49">
        <f>+Winona!E100</f>
        <v>1395650.8512000002</v>
      </c>
      <c r="E13" s="49">
        <f>+Winona!F100</f>
        <v>5000</v>
      </c>
      <c r="F13" s="49">
        <f>+Winona!G100</f>
        <v>81105</v>
      </c>
      <c r="G13" s="49">
        <f>+Winona!H100</f>
        <v>5983855.3711999999</v>
      </c>
      <c r="H13" s="48">
        <f t="shared" si="0"/>
        <v>8.6525468947837261E-2</v>
      </c>
    </row>
    <row r="14" spans="1:8" ht="15" customHeight="1">
      <c r="A14" s="1" t="s">
        <v>330</v>
      </c>
      <c r="B14" s="49">
        <f>+Winona!C127</f>
        <v>3508858.5</v>
      </c>
      <c r="C14" s="49">
        <f>+Winona!D127</f>
        <v>234501.5</v>
      </c>
      <c r="D14" s="49">
        <f>+Winona!E127</f>
        <v>1160441.5999999999</v>
      </c>
      <c r="E14" s="49">
        <f>+Winona!F127</f>
        <v>35000</v>
      </c>
      <c r="F14" s="49">
        <f>+Winona!G127</f>
        <v>178919.49</v>
      </c>
      <c r="G14" s="49">
        <f>+Winona!H127</f>
        <v>5117721.09</v>
      </c>
      <c r="H14" s="48">
        <f t="shared" si="0"/>
        <v>7.4001323525920246E-2</v>
      </c>
    </row>
    <row r="15" spans="1:8" ht="15" customHeight="1">
      <c r="A15" s="1" t="s">
        <v>331</v>
      </c>
      <c r="B15" s="49">
        <f>+Winona!C178</f>
        <v>8551023.5</v>
      </c>
      <c r="C15" s="49">
        <f>+Winona!D178</f>
        <v>439307.39</v>
      </c>
      <c r="D15" s="49">
        <f>+Winona!E178</f>
        <v>2787002.5759000001</v>
      </c>
      <c r="E15" s="49">
        <f>+Winona!F178</f>
        <v>58000</v>
      </c>
      <c r="F15" s="49">
        <f>+Winona!G178</f>
        <v>253896.97999999998</v>
      </c>
      <c r="G15" s="49">
        <f>+Winona!H178</f>
        <v>12089230.445899997</v>
      </c>
      <c r="H15" s="48">
        <f t="shared" si="0"/>
        <v>0.17480809088141433</v>
      </c>
    </row>
    <row r="16" spans="1:8" ht="15" customHeight="1">
      <c r="A16" s="1" t="s">
        <v>52</v>
      </c>
      <c r="B16" s="49">
        <f>+Winona!C191</f>
        <v>3503810.5</v>
      </c>
      <c r="C16" s="49">
        <f>+Winona!D191</f>
        <v>209217.07</v>
      </c>
      <c r="D16" s="49">
        <f>+Winona!E191</f>
        <v>1151038.5466999998</v>
      </c>
      <c r="E16" s="49">
        <f>+Winona!F191</f>
        <v>43000</v>
      </c>
      <c r="F16" s="49">
        <f>+Winona!G191</f>
        <v>100728</v>
      </c>
      <c r="G16" s="49">
        <f>+Winona!H191</f>
        <v>5007794.1166999992</v>
      </c>
      <c r="H16" s="48">
        <f t="shared" si="0"/>
        <v>7.241179932709399E-2</v>
      </c>
    </row>
    <row r="17" spans="1:8" ht="15" customHeight="1">
      <c r="A17" s="1" t="s">
        <v>332</v>
      </c>
      <c r="B17" s="49">
        <f>+Winona!C212</f>
        <v>5835742.0099999998</v>
      </c>
      <c r="C17" s="49">
        <f>+Winona!D212</f>
        <v>541046.63</v>
      </c>
      <c r="D17" s="49">
        <f>+Winona!E212</f>
        <v>1976804.4783999999</v>
      </c>
      <c r="E17" s="49">
        <f>+Winona!F212</f>
        <v>30000</v>
      </c>
      <c r="F17" s="49">
        <f>+Winona!G212</f>
        <v>364593.02</v>
      </c>
      <c r="G17" s="49">
        <f>+Winona!H212</f>
        <v>8748186.1383999996</v>
      </c>
      <c r="H17" s="48">
        <f t="shared" si="0"/>
        <v>0.12649719304900794</v>
      </c>
    </row>
    <row r="18" spans="1:8" ht="15" customHeight="1">
      <c r="B18" s="50"/>
      <c r="C18" s="50"/>
      <c r="D18" s="50"/>
      <c r="E18" s="50"/>
      <c r="F18" s="50"/>
      <c r="G18" s="50"/>
      <c r="H18" s="48" t="s">
        <v>297</v>
      </c>
    </row>
    <row r="19" spans="1:8" ht="15" customHeight="1">
      <c r="A19" s="51" t="s">
        <v>327</v>
      </c>
      <c r="B19" s="24">
        <f>+Winona!C214</f>
        <v>30755517.009999998</v>
      </c>
      <c r="C19" s="24">
        <f>+Winona!D214</f>
        <v>2573551.1799999997</v>
      </c>
      <c r="D19" s="24">
        <f>+Winona!E214</f>
        <v>10332011.138900001</v>
      </c>
      <c r="E19" s="24">
        <f>+Winona!F214</f>
        <v>181000</v>
      </c>
      <c r="F19" s="24">
        <f>+Winona!G214</f>
        <v>3935578.96</v>
      </c>
      <c r="G19" s="24">
        <f>+Winona!H214</f>
        <v>47777658.288899995</v>
      </c>
      <c r="H19" s="48">
        <f t="shared" si="0"/>
        <v>0.69085631791390845</v>
      </c>
    </row>
    <row r="20" spans="1:8" ht="15" customHeight="1">
      <c r="B20" s="52"/>
      <c r="C20" s="52"/>
      <c r="D20" s="52"/>
      <c r="E20" s="52"/>
      <c r="F20" s="52"/>
      <c r="G20" s="52"/>
      <c r="H20" s="48" t="s">
        <v>297</v>
      </c>
    </row>
    <row r="21" spans="1:8" ht="15" customHeight="1">
      <c r="A21" s="1" t="s">
        <v>318</v>
      </c>
      <c r="B21" s="22">
        <f>+Winona!C234</f>
        <v>848398.5</v>
      </c>
      <c r="C21" s="22">
        <f>+Winona!D234</f>
        <v>647787.53</v>
      </c>
      <c r="D21" s="22">
        <f>+Winona!E234</f>
        <v>463817.66930000001</v>
      </c>
      <c r="E21" s="22">
        <f>+Winona!F234</f>
        <v>0</v>
      </c>
      <c r="F21" s="22">
        <f>+Winona!G234</f>
        <v>713228</v>
      </c>
      <c r="G21" s="22">
        <f>+Winona!H234</f>
        <v>2673231.6993</v>
      </c>
      <c r="H21" s="48">
        <f t="shared" si="0"/>
        <v>3.8654448017143676E-2</v>
      </c>
    </row>
    <row r="22" spans="1:8" ht="15" customHeight="1">
      <c r="A22" s="1" t="s">
        <v>328</v>
      </c>
      <c r="B22" s="49">
        <f>Winona!C252</f>
        <v>217034.47</v>
      </c>
      <c r="C22" s="49">
        <f>Winona!D252</f>
        <v>2192725.9300000002</v>
      </c>
      <c r="D22" s="49">
        <f>Winona!E252</f>
        <v>747025.72399999993</v>
      </c>
      <c r="E22" s="49">
        <f>Winona!F252</f>
        <v>610000</v>
      </c>
      <c r="F22" s="49">
        <f>Winona!G252</f>
        <v>514201</v>
      </c>
      <c r="G22" s="49">
        <f>Winona!H252</f>
        <v>4280987.1239999998</v>
      </c>
      <c r="H22" s="48">
        <f t="shared" si="0"/>
        <v>6.1902301356837497E-2</v>
      </c>
    </row>
    <row r="23" spans="1:8" ht="15" customHeight="1">
      <c r="A23" s="1" t="s">
        <v>335</v>
      </c>
      <c r="B23" s="49">
        <f>+Winona!C279</f>
        <v>2281029.5000000005</v>
      </c>
      <c r="C23" s="49">
        <f>+Winona!D279</f>
        <v>817590.43</v>
      </c>
      <c r="D23" s="49">
        <f>+Winona!E279</f>
        <v>960572.17829999991</v>
      </c>
      <c r="E23" s="49">
        <f>+Winona!F279</f>
        <v>0</v>
      </c>
      <c r="F23" s="49">
        <f>+Winona!G279</f>
        <v>867894</v>
      </c>
      <c r="G23" s="49">
        <f>+Winona!H279</f>
        <v>4927086.1082999995</v>
      </c>
      <c r="H23" s="48">
        <f t="shared" si="0"/>
        <v>7.1244776088486603E-2</v>
      </c>
    </row>
    <row r="24" spans="1:8" ht="15" customHeight="1">
      <c r="A24" s="1" t="s">
        <v>143</v>
      </c>
      <c r="B24" s="49">
        <f>Winona!C293</f>
        <v>0</v>
      </c>
      <c r="C24" s="49">
        <f>Winona!D293</f>
        <v>2188594.04</v>
      </c>
      <c r="D24" s="49">
        <f>Winona!E293</f>
        <v>678464.15240000002</v>
      </c>
      <c r="E24" s="49">
        <f>Winona!F293</f>
        <v>0</v>
      </c>
      <c r="F24" s="49">
        <f>Winona!G293</f>
        <v>1499116</v>
      </c>
      <c r="G24" s="49">
        <f>Winona!H293</f>
        <v>4366174.1924000001</v>
      </c>
      <c r="H24" s="48">
        <f t="shared" si="0"/>
        <v>6.3134090994848638E-2</v>
      </c>
    </row>
    <row r="25" spans="1:8" ht="15" customHeight="1">
      <c r="A25" s="1" t="s">
        <v>308</v>
      </c>
      <c r="B25" s="49">
        <f>Winona!C320</f>
        <v>1373614.99</v>
      </c>
      <c r="C25" s="49">
        <f>Winona!D320</f>
        <v>46500</v>
      </c>
      <c r="D25" s="49">
        <f>Winona!E320</f>
        <v>440235.64690000005</v>
      </c>
      <c r="E25" s="49">
        <f>Winona!F320</f>
        <v>0</v>
      </c>
      <c r="F25" s="49">
        <f>Winona!G320</f>
        <v>155085.49</v>
      </c>
      <c r="G25" s="49">
        <f>Winona!H320</f>
        <v>2015436.1268999998</v>
      </c>
      <c r="H25" s="48">
        <f t="shared" si="0"/>
        <v>2.9142842732086942E-2</v>
      </c>
    </row>
    <row r="26" spans="1:8" ht="15" customHeight="1">
      <c r="A26" s="1" t="s">
        <v>334</v>
      </c>
      <c r="B26" s="49">
        <f>+Winona!C343</f>
        <v>475825.99</v>
      </c>
      <c r="C26" s="49">
        <f>+Winona!D343</f>
        <v>1136459.9099999999</v>
      </c>
      <c r="D26" s="49">
        <f>+Winona!E343</f>
        <v>499808.62900000002</v>
      </c>
      <c r="E26" s="49">
        <f>+Winona!F343</f>
        <v>0</v>
      </c>
      <c r="F26" s="49">
        <f>+Winona!G343</f>
        <v>679042.49</v>
      </c>
      <c r="G26" s="49">
        <f>+Winona!H343</f>
        <v>2791137.0190000003</v>
      </c>
      <c r="H26" s="48">
        <f t="shared" si="0"/>
        <v>4.0359337665310642E-2</v>
      </c>
    </row>
    <row r="27" spans="1:8" ht="15" customHeight="1">
      <c r="A27" s="53" t="s">
        <v>314</v>
      </c>
      <c r="B27" s="49">
        <f>+Winona!C385</f>
        <v>753156.5</v>
      </c>
      <c r="C27" s="49">
        <f>+Winona!D385</f>
        <v>100000</v>
      </c>
      <c r="D27" s="49">
        <f>+Winona!E385</f>
        <v>264478.51500000001</v>
      </c>
      <c r="E27" s="49">
        <f>+Winona!F385</f>
        <v>461464</v>
      </c>
      <c r="F27" s="49">
        <f>+Winona!G385</f>
        <v>5973295.0299999993</v>
      </c>
      <c r="G27" s="49">
        <f>+Winona!H385</f>
        <v>7552394.044999999</v>
      </c>
      <c r="H27" s="48">
        <f t="shared" si="0"/>
        <v>0.10920625514574075</v>
      </c>
    </row>
    <row r="28" spans="1:8" ht="15" customHeight="1">
      <c r="A28" s="9"/>
      <c r="H28" s="48" t="s">
        <v>297</v>
      </c>
    </row>
    <row r="29" spans="1:8" ht="15" customHeight="1" thickBot="1">
      <c r="A29" s="54" t="s">
        <v>317</v>
      </c>
      <c r="B29" s="35">
        <f>+Winona!C387</f>
        <v>36704576.960000001</v>
      </c>
      <c r="C29" s="35">
        <f>+Winona!D387</f>
        <v>9842953.0199999996</v>
      </c>
      <c r="D29" s="35">
        <f>+Winona!E387</f>
        <v>14429734.293800002</v>
      </c>
      <c r="E29" s="35">
        <f>+Winona!F387</f>
        <v>1252464</v>
      </c>
      <c r="F29" s="35">
        <f>+Winona!G387</f>
        <v>14479821.970000001</v>
      </c>
      <c r="G29" s="35">
        <f>+Winona!H387</f>
        <v>76709550.243799999</v>
      </c>
      <c r="H29" s="48">
        <f t="shared" si="0"/>
        <v>1.1092062551457409</v>
      </c>
    </row>
    <row r="30" spans="1:8" ht="15" thickTop="1">
      <c r="A30" s="9"/>
      <c r="B30" s="55"/>
      <c r="C30" s="55"/>
      <c r="D30" s="55"/>
      <c r="E30" s="55"/>
      <c r="F30" s="55"/>
      <c r="G30" s="55"/>
    </row>
    <row r="31" spans="1:8">
      <c r="A31" s="9"/>
      <c r="B31" s="55"/>
      <c r="C31" s="55"/>
      <c r="D31" s="55"/>
      <c r="E31" s="55"/>
      <c r="F31" s="55"/>
      <c r="G31" s="22">
        <f>G29-G27</f>
        <v>69157156.198799998</v>
      </c>
    </row>
  </sheetData>
  <mergeCells count="3">
    <mergeCell ref="A1:G1"/>
    <mergeCell ref="A3:G3"/>
    <mergeCell ref="A2:G2"/>
  </mergeCells>
  <phoneticPr fontId="0" type="noConversion"/>
  <pageMargins left="0.75" right="0.75" top="1" bottom="1" header="0" footer="0"/>
  <headerFooter alignWithMargins="0">
    <oddHeader>&amp;RFY09
&amp;F</oddHeader>
    <oddFooter>&amp;C&amp;F&amp;R&amp;D&amp;T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>
    <pageSetUpPr fitToPage="1"/>
  </sheetPr>
  <dimension ref="A1:I410"/>
  <sheetViews>
    <sheetView workbookViewId="0">
      <pane xSplit="1" ySplit="7" topLeftCell="B8" activePane="bottomRight" state="frozen"/>
      <selection activeCell="E28" sqref="E28"/>
      <selection pane="topRight" activeCell="E28" sqref="E28"/>
      <selection pane="bottomLeft" activeCell="E28" sqref="E28"/>
      <selection pane="bottomRight" activeCell="B20" sqref="B20"/>
    </sheetView>
  </sheetViews>
  <sheetFormatPr baseColWidth="10" defaultColWidth="8.83203125" defaultRowHeight="14"/>
  <cols>
    <col min="1" max="1" width="9.6640625" style="7" bestFit="1" customWidth="1"/>
    <col min="2" max="2" width="52" style="8" bestFit="1" customWidth="1"/>
    <col min="3" max="3" width="13.5" style="1" bestFit="1" customWidth="1"/>
    <col min="4" max="4" width="12.1640625" style="1" bestFit="1" customWidth="1"/>
    <col min="5" max="5" width="13.5" style="1" bestFit="1" customWidth="1"/>
    <col min="6" max="6" width="12.1640625" style="1" bestFit="1" customWidth="1"/>
    <col min="7" max="8" width="13.5" style="1" bestFit="1" customWidth="1"/>
    <col min="9" max="9" width="54" style="1" bestFit="1" customWidth="1"/>
    <col min="10" max="16384" width="8.83203125" style="1"/>
  </cols>
  <sheetData>
    <row r="1" spans="1:8">
      <c r="A1" s="56"/>
      <c r="B1" s="56"/>
      <c r="C1" s="56"/>
      <c r="D1" s="56"/>
      <c r="E1" s="56"/>
      <c r="F1" s="56"/>
      <c r="G1" s="56"/>
      <c r="H1" s="56"/>
    </row>
    <row r="2" spans="1:8">
      <c r="A2" s="56"/>
      <c r="B2" s="56"/>
      <c r="C2" s="56"/>
      <c r="D2" s="56"/>
      <c r="E2" s="56"/>
      <c r="F2" s="56"/>
      <c r="G2" s="56"/>
      <c r="H2" s="56"/>
    </row>
    <row r="3" spans="1:8">
      <c r="A3" s="2"/>
      <c r="B3" s="3"/>
      <c r="C3" s="4"/>
      <c r="D3" s="4"/>
      <c r="E3" s="4"/>
      <c r="F3" s="4"/>
      <c r="G3" s="4"/>
      <c r="H3" s="4"/>
    </row>
    <row r="4" spans="1:8">
      <c r="A4" s="5"/>
      <c r="B4" s="6"/>
      <c r="C4" s="4"/>
      <c r="D4" s="4"/>
      <c r="E4" s="4"/>
      <c r="F4" s="4"/>
      <c r="G4" s="4"/>
      <c r="H4" s="4"/>
    </row>
    <row r="5" spans="1:8">
      <c r="D5" s="9"/>
      <c r="E5" s="9"/>
      <c r="F5" s="10" t="s">
        <v>343</v>
      </c>
      <c r="G5" s="10" t="s">
        <v>343</v>
      </c>
      <c r="H5" s="10" t="s">
        <v>343</v>
      </c>
    </row>
    <row r="6" spans="1:8">
      <c r="A6" s="5" t="s">
        <v>105</v>
      </c>
      <c r="C6" s="11">
        <v>39720</v>
      </c>
      <c r="D6" s="11">
        <v>39729</v>
      </c>
      <c r="E6" s="12" t="s">
        <v>298</v>
      </c>
      <c r="F6" s="10" t="s">
        <v>299</v>
      </c>
      <c r="G6" s="12" t="s">
        <v>300</v>
      </c>
      <c r="H6" s="10" t="s">
        <v>301</v>
      </c>
    </row>
    <row r="7" spans="1:8">
      <c r="A7" s="5" t="s">
        <v>106</v>
      </c>
      <c r="B7" s="13" t="s">
        <v>104</v>
      </c>
      <c r="C7" s="14" t="s">
        <v>302</v>
      </c>
      <c r="D7" s="14" t="s">
        <v>303</v>
      </c>
      <c r="E7" s="15" t="s">
        <v>344</v>
      </c>
      <c r="F7" s="15" t="s">
        <v>304</v>
      </c>
      <c r="G7" s="15" t="s">
        <v>305</v>
      </c>
      <c r="H7" s="15" t="s">
        <v>304</v>
      </c>
    </row>
    <row r="8" spans="1:8">
      <c r="C8" s="16"/>
      <c r="D8" s="16"/>
      <c r="E8" s="17"/>
      <c r="F8" s="17"/>
      <c r="G8" s="18"/>
      <c r="H8" s="17"/>
    </row>
    <row r="9" spans="1:8">
      <c r="A9" s="5"/>
      <c r="B9" s="19" t="s">
        <v>306</v>
      </c>
      <c r="D9" s="20"/>
      <c r="E9" s="20"/>
      <c r="F9" s="20"/>
      <c r="G9" s="20"/>
      <c r="H9" s="20"/>
    </row>
    <row r="10" spans="1:8">
      <c r="A10" s="7" t="s">
        <v>230</v>
      </c>
      <c r="B10" s="8" t="s">
        <v>225</v>
      </c>
      <c r="C10" s="21">
        <v>0</v>
      </c>
      <c r="D10" s="21">
        <v>94753</v>
      </c>
      <c r="E10" s="21">
        <f t="shared" ref="E10:E16" si="0">SUM(C10:D10)*0.31</f>
        <v>29373.43</v>
      </c>
      <c r="F10" s="21">
        <v>0</v>
      </c>
      <c r="G10" s="21">
        <v>21570</v>
      </c>
      <c r="H10" s="21">
        <f t="shared" ref="H10:H16" si="1">SUM(C10:G10)</f>
        <v>145696.43</v>
      </c>
    </row>
    <row r="11" spans="1:8">
      <c r="A11" s="7" t="s">
        <v>231</v>
      </c>
      <c r="B11" s="8" t="s">
        <v>226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8000</v>
      </c>
      <c r="H11" s="21">
        <f t="shared" si="1"/>
        <v>8000</v>
      </c>
    </row>
    <row r="12" spans="1:8">
      <c r="A12" s="7" t="s">
        <v>232</v>
      </c>
      <c r="B12" s="8" t="s">
        <v>128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24000</v>
      </c>
      <c r="H12" s="21">
        <f t="shared" si="1"/>
        <v>24000</v>
      </c>
    </row>
    <row r="13" spans="1:8">
      <c r="A13" s="7" t="s">
        <v>233</v>
      </c>
      <c r="B13" s="8" t="s">
        <v>227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31900</v>
      </c>
      <c r="H13" s="21">
        <f t="shared" si="1"/>
        <v>31900</v>
      </c>
    </row>
    <row r="14" spans="1:8">
      <c r="A14" s="7" t="s">
        <v>234</v>
      </c>
      <c r="B14" s="8" t="s">
        <v>349</v>
      </c>
      <c r="C14" s="21">
        <v>0</v>
      </c>
      <c r="D14" s="21">
        <v>0</v>
      </c>
      <c r="E14" s="21">
        <f t="shared" si="0"/>
        <v>0</v>
      </c>
      <c r="F14" s="21">
        <v>0</v>
      </c>
      <c r="G14" s="21">
        <v>5000</v>
      </c>
      <c r="H14" s="21">
        <f t="shared" si="1"/>
        <v>5000</v>
      </c>
    </row>
    <row r="15" spans="1:8">
      <c r="A15" s="7" t="s">
        <v>235</v>
      </c>
      <c r="B15" s="8" t="s">
        <v>64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18880</v>
      </c>
      <c r="H15" s="21">
        <f t="shared" si="1"/>
        <v>18880</v>
      </c>
    </row>
    <row r="16" spans="1:8">
      <c r="A16" s="7" t="s">
        <v>236</v>
      </c>
      <c r="B16" s="8" t="s">
        <v>228</v>
      </c>
      <c r="C16" s="21">
        <v>0</v>
      </c>
      <c r="D16" s="21">
        <v>2000</v>
      </c>
      <c r="E16" s="21">
        <f t="shared" si="0"/>
        <v>620</v>
      </c>
      <c r="F16" s="21">
        <v>0</v>
      </c>
      <c r="G16" s="21">
        <v>11760</v>
      </c>
      <c r="H16" s="21">
        <f t="shared" si="1"/>
        <v>14380</v>
      </c>
    </row>
    <row r="17" spans="1:9">
      <c r="A17" s="7" t="s">
        <v>237</v>
      </c>
      <c r="B17" s="8" t="s">
        <v>229</v>
      </c>
      <c r="C17" s="21">
        <v>0</v>
      </c>
      <c r="D17" s="21">
        <v>42991</v>
      </c>
      <c r="E17" s="21">
        <f t="shared" ref="E17" si="2">SUM(C17:D17)*0.31</f>
        <v>13327.21</v>
      </c>
      <c r="F17" s="21">
        <v>0</v>
      </c>
      <c r="G17" s="21">
        <v>21271</v>
      </c>
      <c r="H17" s="21">
        <f t="shared" ref="H17" si="3">SUM(C17:G17)</f>
        <v>77589.209999999992</v>
      </c>
    </row>
    <row r="18" spans="1:9">
      <c r="A18" s="7" t="s">
        <v>348</v>
      </c>
      <c r="C18" s="21"/>
      <c r="D18" s="22"/>
      <c r="E18" s="22"/>
      <c r="F18" s="22"/>
      <c r="G18" s="22"/>
      <c r="H18" s="22"/>
    </row>
    <row r="19" spans="1:9">
      <c r="B19" s="8" t="s">
        <v>307</v>
      </c>
      <c r="C19" s="23">
        <f t="shared" ref="C19:H19" si="4">SUM(C10:C18)</f>
        <v>0</v>
      </c>
      <c r="D19" s="24">
        <f t="shared" si="4"/>
        <v>139744</v>
      </c>
      <c r="E19" s="24">
        <f t="shared" si="4"/>
        <v>43320.639999999999</v>
      </c>
      <c r="F19" s="24">
        <f t="shared" si="4"/>
        <v>0</v>
      </c>
      <c r="G19" s="24">
        <f t="shared" si="4"/>
        <v>142381</v>
      </c>
      <c r="H19" s="24">
        <f t="shared" si="4"/>
        <v>325445.64</v>
      </c>
    </row>
    <row r="20" spans="1:9">
      <c r="A20" s="7" t="s">
        <v>348</v>
      </c>
      <c r="C20" s="21"/>
      <c r="D20" s="25" t="s">
        <v>346</v>
      </c>
      <c r="E20" s="22"/>
      <c r="F20" s="22"/>
      <c r="G20" s="22"/>
      <c r="H20" s="22"/>
    </row>
    <row r="21" spans="1:9">
      <c r="A21" s="5"/>
      <c r="B21" s="19" t="s">
        <v>65</v>
      </c>
      <c r="C21" s="22"/>
      <c r="D21" s="22"/>
      <c r="E21" s="22"/>
      <c r="F21" s="22"/>
      <c r="G21" s="22"/>
      <c r="H21" s="22"/>
    </row>
    <row r="22" spans="1:9">
      <c r="A22" s="7">
        <v>210042</v>
      </c>
      <c r="B22" s="8" t="s">
        <v>238</v>
      </c>
      <c r="C22" s="21">
        <v>23795.5</v>
      </c>
      <c r="D22" s="21">
        <v>0</v>
      </c>
      <c r="E22" s="21">
        <f>SUM(C22:D22)*0.31</f>
        <v>7376.6049999999996</v>
      </c>
      <c r="F22" s="21">
        <v>0</v>
      </c>
      <c r="G22" s="22">
        <v>1000</v>
      </c>
      <c r="H22" s="22">
        <f t="shared" ref="H22:H28" si="5">SUM(C22:G22)</f>
        <v>32172.105</v>
      </c>
    </row>
    <row r="23" spans="1:9">
      <c r="A23" s="7">
        <v>210076</v>
      </c>
      <c r="B23" s="8" t="s">
        <v>22</v>
      </c>
      <c r="C23" s="21">
        <v>0</v>
      </c>
      <c r="D23" s="21">
        <v>0</v>
      </c>
      <c r="E23" s="21">
        <f>SUM(C23:D23)*0.31</f>
        <v>0</v>
      </c>
      <c r="F23" s="21">
        <v>0</v>
      </c>
      <c r="G23" s="22">
        <v>11596</v>
      </c>
      <c r="H23" s="22">
        <f t="shared" si="5"/>
        <v>11596</v>
      </c>
    </row>
    <row r="24" spans="1:9">
      <c r="A24" s="7">
        <v>210314</v>
      </c>
      <c r="B24" s="8" t="s">
        <v>350</v>
      </c>
      <c r="C24" s="21">
        <v>0</v>
      </c>
      <c r="D24" s="21">
        <v>104356.18</v>
      </c>
      <c r="E24" s="21">
        <f t="shared" ref="E24:E70" si="6">SUM(C24:D24)*0.31</f>
        <v>32350.415799999999</v>
      </c>
      <c r="F24" s="21">
        <v>0</v>
      </c>
      <c r="G24" s="22">
        <v>2725.49</v>
      </c>
      <c r="H24" s="22">
        <f t="shared" si="5"/>
        <v>139432.08579999997</v>
      </c>
    </row>
    <row r="25" spans="1:9">
      <c r="A25" s="7">
        <v>210315</v>
      </c>
      <c r="B25" s="8" t="s">
        <v>239</v>
      </c>
      <c r="C25" s="21">
        <v>0</v>
      </c>
      <c r="D25" s="21">
        <v>0</v>
      </c>
      <c r="E25" s="21">
        <f t="shared" si="6"/>
        <v>0</v>
      </c>
      <c r="F25" s="21">
        <v>0</v>
      </c>
      <c r="G25" s="22">
        <v>0</v>
      </c>
      <c r="H25" s="22">
        <f t="shared" si="5"/>
        <v>0</v>
      </c>
    </row>
    <row r="26" spans="1:9">
      <c r="A26" s="7">
        <v>210316</v>
      </c>
      <c r="B26" s="8" t="s">
        <v>240</v>
      </c>
      <c r="C26" s="21">
        <v>0</v>
      </c>
      <c r="D26" s="21">
        <v>0</v>
      </c>
      <c r="E26" s="21">
        <f t="shared" si="6"/>
        <v>0</v>
      </c>
      <c r="F26" s="21">
        <v>0</v>
      </c>
      <c r="G26" s="22">
        <v>20198.490000000002</v>
      </c>
      <c r="H26" s="22">
        <f t="shared" si="5"/>
        <v>20198.490000000002</v>
      </c>
    </row>
    <row r="27" spans="1:9">
      <c r="A27" s="7">
        <v>210319</v>
      </c>
      <c r="B27" s="8" t="s">
        <v>241</v>
      </c>
      <c r="C27" s="21">
        <v>0</v>
      </c>
      <c r="D27" s="21">
        <v>0</v>
      </c>
      <c r="E27" s="21">
        <f t="shared" si="6"/>
        <v>0</v>
      </c>
      <c r="F27" s="21">
        <v>0</v>
      </c>
      <c r="G27" s="22">
        <v>25000</v>
      </c>
      <c r="H27" s="22">
        <f t="shared" si="5"/>
        <v>25000</v>
      </c>
    </row>
    <row r="28" spans="1:9">
      <c r="A28" s="7">
        <v>210320</v>
      </c>
      <c r="B28" s="8" t="s">
        <v>16</v>
      </c>
      <c r="C28" s="21">
        <v>109855.5</v>
      </c>
      <c r="D28" s="21">
        <v>42992</v>
      </c>
      <c r="E28" s="21">
        <f t="shared" si="6"/>
        <v>47382.724999999999</v>
      </c>
      <c r="F28" s="21">
        <v>0</v>
      </c>
      <c r="G28" s="22">
        <v>10497</v>
      </c>
      <c r="H28" s="22">
        <f t="shared" si="5"/>
        <v>210727.22500000001</v>
      </c>
    </row>
    <row r="29" spans="1:9">
      <c r="A29" s="7">
        <v>210301</v>
      </c>
      <c r="B29" s="8" t="s">
        <v>130</v>
      </c>
      <c r="C29" s="21">
        <v>53243</v>
      </c>
      <c r="D29" s="21">
        <v>42992</v>
      </c>
      <c r="E29" s="21">
        <f t="shared" si="6"/>
        <v>29832.85</v>
      </c>
      <c r="F29" s="21">
        <v>0</v>
      </c>
      <c r="G29" s="22">
        <v>10715</v>
      </c>
      <c r="H29" s="22">
        <f t="shared" ref="H29:H63" si="7">SUM(C29:G29)</f>
        <v>136782.85</v>
      </c>
    </row>
    <row r="30" spans="1:9">
      <c r="A30" s="7">
        <v>210301</v>
      </c>
      <c r="B30" s="8" t="s">
        <v>129</v>
      </c>
      <c r="C30" s="21">
        <f>280000+10000</f>
        <v>290000</v>
      </c>
      <c r="D30" s="21">
        <v>0</v>
      </c>
      <c r="E30" s="21">
        <f t="shared" si="6"/>
        <v>89900</v>
      </c>
      <c r="F30" s="21">
        <v>0</v>
      </c>
      <c r="G30" s="22">
        <v>0</v>
      </c>
      <c r="H30" s="22">
        <f t="shared" si="7"/>
        <v>379900</v>
      </c>
    </row>
    <row r="31" spans="1:9">
      <c r="A31" s="7">
        <v>210450</v>
      </c>
      <c r="B31" s="8" t="s">
        <v>131</v>
      </c>
      <c r="C31" s="21">
        <v>81668</v>
      </c>
      <c r="D31" s="21">
        <v>17977.150000000001</v>
      </c>
      <c r="E31" s="21">
        <f t="shared" si="6"/>
        <v>30889.996499999997</v>
      </c>
      <c r="F31" s="21">
        <v>0</v>
      </c>
      <c r="G31" s="22">
        <v>2294</v>
      </c>
      <c r="H31" s="22">
        <f t="shared" si="7"/>
        <v>132829.14649999997</v>
      </c>
      <c r="I31" s="1" t="s">
        <v>297</v>
      </c>
    </row>
    <row r="32" spans="1:9">
      <c r="A32" s="7">
        <v>212010</v>
      </c>
      <c r="B32" s="8" t="s">
        <v>242</v>
      </c>
      <c r="C32" s="21">
        <v>0</v>
      </c>
      <c r="D32" s="21">
        <v>0</v>
      </c>
      <c r="E32" s="21">
        <f t="shared" si="6"/>
        <v>0</v>
      </c>
      <c r="F32" s="21"/>
      <c r="G32" s="22">
        <v>0</v>
      </c>
      <c r="H32" s="22">
        <f t="shared" si="7"/>
        <v>0</v>
      </c>
    </row>
    <row r="33" spans="1:9">
      <c r="A33" s="7">
        <v>213006</v>
      </c>
      <c r="B33" s="8" t="s">
        <v>132</v>
      </c>
      <c r="C33" s="21">
        <v>0</v>
      </c>
      <c r="D33" s="21">
        <v>0</v>
      </c>
      <c r="E33" s="21">
        <f t="shared" si="6"/>
        <v>0</v>
      </c>
      <c r="F33" s="21">
        <v>0</v>
      </c>
      <c r="G33" s="22">
        <v>25000</v>
      </c>
      <c r="H33" s="22">
        <f t="shared" si="7"/>
        <v>25000</v>
      </c>
    </row>
    <row r="34" spans="1:9">
      <c r="A34" s="7">
        <v>213007</v>
      </c>
      <c r="B34" s="8" t="s">
        <v>351</v>
      </c>
      <c r="C34" s="21">
        <v>0</v>
      </c>
      <c r="D34" s="21">
        <v>0</v>
      </c>
      <c r="E34" s="21">
        <f t="shared" si="6"/>
        <v>0</v>
      </c>
      <c r="F34" s="21">
        <v>0</v>
      </c>
      <c r="G34" s="22">
        <v>2500</v>
      </c>
      <c r="H34" s="22">
        <f t="shared" si="7"/>
        <v>2500</v>
      </c>
    </row>
    <row r="35" spans="1:9">
      <c r="A35" s="7">
        <v>214099</v>
      </c>
      <c r="B35" s="8" t="s">
        <v>34</v>
      </c>
      <c r="C35" s="26">
        <v>0</v>
      </c>
      <c r="D35" s="27">
        <v>0</v>
      </c>
      <c r="E35" s="27">
        <f t="shared" si="6"/>
        <v>0</v>
      </c>
      <c r="F35" s="27">
        <v>0</v>
      </c>
      <c r="G35" s="27">
        <v>5000</v>
      </c>
      <c r="H35" s="27">
        <f t="shared" si="7"/>
        <v>5000</v>
      </c>
    </row>
    <row r="36" spans="1:9">
      <c r="A36" s="7">
        <v>215003</v>
      </c>
      <c r="B36" s="8" t="s">
        <v>243</v>
      </c>
      <c r="C36" s="21">
        <v>0</v>
      </c>
      <c r="D36" s="21">
        <v>6578.23</v>
      </c>
      <c r="E36" s="21">
        <f t="shared" si="6"/>
        <v>2039.2512999999999</v>
      </c>
      <c r="F36" s="21">
        <v>0</v>
      </c>
      <c r="G36" s="22">
        <v>694</v>
      </c>
      <c r="H36" s="22">
        <f t="shared" si="7"/>
        <v>9311.4812999999995</v>
      </c>
    </row>
    <row r="37" spans="1:9">
      <c r="A37" s="7">
        <v>215005</v>
      </c>
      <c r="B37" s="8" t="s">
        <v>68</v>
      </c>
      <c r="C37" s="21">
        <v>163296</v>
      </c>
      <c r="D37" s="21">
        <v>77064.639999999999</v>
      </c>
      <c r="E37" s="21">
        <f t="shared" si="6"/>
        <v>74511.7984</v>
      </c>
      <c r="F37" s="21">
        <v>0</v>
      </c>
      <c r="G37" s="22">
        <v>34237</v>
      </c>
      <c r="H37" s="22">
        <f t="shared" si="7"/>
        <v>349109.43839999998</v>
      </c>
    </row>
    <row r="38" spans="1:9">
      <c r="A38" s="7">
        <v>215007</v>
      </c>
      <c r="B38" s="8" t="s">
        <v>244</v>
      </c>
      <c r="C38" s="21">
        <v>94096</v>
      </c>
      <c r="D38" s="21">
        <v>5000</v>
      </c>
      <c r="E38" s="21">
        <f t="shared" si="6"/>
        <v>30719.759999999998</v>
      </c>
      <c r="F38" s="21">
        <v>10000</v>
      </c>
      <c r="G38" s="22">
        <v>145730</v>
      </c>
      <c r="H38" s="22">
        <f t="shared" si="7"/>
        <v>285545.76</v>
      </c>
      <c r="I38" s="20"/>
    </row>
    <row r="39" spans="1:9">
      <c r="A39" s="7">
        <v>215014</v>
      </c>
      <c r="B39" s="8" t="s">
        <v>245</v>
      </c>
      <c r="C39" s="21">
        <v>0</v>
      </c>
      <c r="D39" s="21">
        <v>0</v>
      </c>
      <c r="E39" s="21">
        <f t="shared" si="6"/>
        <v>0</v>
      </c>
      <c r="F39" s="21">
        <v>0</v>
      </c>
      <c r="G39" s="22">
        <f>126630+5000</f>
        <v>131630</v>
      </c>
      <c r="H39" s="22">
        <f>SUM(C39:G39)</f>
        <v>131630</v>
      </c>
    </row>
    <row r="40" spans="1:9">
      <c r="A40" s="7">
        <v>215016</v>
      </c>
      <c r="B40" s="8" t="s">
        <v>246</v>
      </c>
      <c r="C40" s="21">
        <v>0</v>
      </c>
      <c r="D40" s="21">
        <v>0</v>
      </c>
      <c r="E40" s="21">
        <f t="shared" si="6"/>
        <v>0</v>
      </c>
      <c r="F40" s="21">
        <v>0</v>
      </c>
      <c r="G40" s="22">
        <v>18000</v>
      </c>
      <c r="H40" s="22">
        <f>SUM(C40:G40)</f>
        <v>18000</v>
      </c>
    </row>
    <row r="41" spans="1:9">
      <c r="A41" s="7">
        <v>215020</v>
      </c>
      <c r="B41" s="8" t="s">
        <v>133</v>
      </c>
      <c r="C41" s="21">
        <v>0</v>
      </c>
      <c r="D41" s="21">
        <v>0</v>
      </c>
      <c r="E41" s="21">
        <f t="shared" si="6"/>
        <v>0</v>
      </c>
      <c r="F41" s="21">
        <v>0</v>
      </c>
      <c r="G41" s="22">
        <v>4000</v>
      </c>
      <c r="H41" s="22">
        <f t="shared" si="7"/>
        <v>4000</v>
      </c>
    </row>
    <row r="42" spans="1:9">
      <c r="A42" s="7">
        <v>215031</v>
      </c>
      <c r="B42" s="8" t="s">
        <v>247</v>
      </c>
      <c r="C42" s="21">
        <v>250000</v>
      </c>
      <c r="D42" s="21">
        <v>0</v>
      </c>
      <c r="E42" s="21">
        <f t="shared" si="6"/>
        <v>77500</v>
      </c>
      <c r="F42" s="21">
        <v>0</v>
      </c>
      <c r="G42" s="22">
        <v>0</v>
      </c>
      <c r="H42" s="22">
        <f t="shared" si="7"/>
        <v>327500</v>
      </c>
    </row>
    <row r="43" spans="1:9">
      <c r="A43" s="7">
        <v>215032</v>
      </c>
      <c r="B43" s="8" t="s">
        <v>14</v>
      </c>
      <c r="C43" s="21">
        <v>31144</v>
      </c>
      <c r="D43" s="21">
        <v>0</v>
      </c>
      <c r="E43" s="21">
        <f t="shared" si="6"/>
        <v>9654.64</v>
      </c>
      <c r="F43" s="21">
        <v>0</v>
      </c>
      <c r="G43" s="22">
        <v>0</v>
      </c>
      <c r="H43" s="22">
        <f t="shared" si="7"/>
        <v>40798.639999999999</v>
      </c>
    </row>
    <row r="44" spans="1:9">
      <c r="A44" s="7">
        <v>215036</v>
      </c>
      <c r="B44" s="8" t="s">
        <v>248</v>
      </c>
      <c r="C44" s="21">
        <v>99060</v>
      </c>
      <c r="D44" s="21">
        <v>0</v>
      </c>
      <c r="E44" s="21">
        <f t="shared" si="6"/>
        <v>30708.6</v>
      </c>
      <c r="F44" s="21">
        <v>0</v>
      </c>
      <c r="G44" s="22">
        <v>15000</v>
      </c>
      <c r="H44" s="22">
        <f t="shared" si="7"/>
        <v>144768.6</v>
      </c>
    </row>
    <row r="45" spans="1:9">
      <c r="A45" s="7">
        <v>215039</v>
      </c>
      <c r="B45" s="8" t="s">
        <v>249</v>
      </c>
      <c r="C45" s="21">
        <v>44164.14</v>
      </c>
      <c r="D45" s="21">
        <v>19669</v>
      </c>
      <c r="E45" s="21">
        <f t="shared" si="6"/>
        <v>19788.273399999998</v>
      </c>
      <c r="F45" s="21">
        <v>0</v>
      </c>
      <c r="G45" s="22">
        <v>20541.490000000002</v>
      </c>
      <c r="H45" s="22">
        <f>SUM(C45:G45)</f>
        <v>104162.9034</v>
      </c>
    </row>
    <row r="46" spans="1:9">
      <c r="A46" s="7">
        <v>215044</v>
      </c>
      <c r="B46" s="8" t="s">
        <v>250</v>
      </c>
      <c r="C46" s="21">
        <v>150130</v>
      </c>
      <c r="D46" s="21">
        <v>0</v>
      </c>
      <c r="E46" s="21">
        <f t="shared" si="6"/>
        <v>46540.3</v>
      </c>
      <c r="F46" s="21">
        <v>0</v>
      </c>
      <c r="G46" s="22">
        <v>20986</v>
      </c>
      <c r="H46" s="22">
        <f>SUM(C46:G46)</f>
        <v>217656.3</v>
      </c>
    </row>
    <row r="47" spans="1:9">
      <c r="A47" s="7">
        <v>215045</v>
      </c>
      <c r="B47" s="8" t="s">
        <v>135</v>
      </c>
      <c r="C47" s="21">
        <v>141671</v>
      </c>
      <c r="D47" s="21">
        <v>0</v>
      </c>
      <c r="E47" s="21">
        <f t="shared" si="6"/>
        <v>43918.01</v>
      </c>
      <c r="F47" s="21">
        <v>0</v>
      </c>
      <c r="G47" s="22">
        <v>7000</v>
      </c>
      <c r="H47" s="22">
        <f>SUM(C47:G47)</f>
        <v>192589.01</v>
      </c>
    </row>
    <row r="48" spans="1:9">
      <c r="A48" s="7">
        <v>215046</v>
      </c>
      <c r="B48" s="8" t="s">
        <v>251</v>
      </c>
      <c r="C48" s="21">
        <v>750252.5</v>
      </c>
      <c r="D48" s="21">
        <v>0</v>
      </c>
      <c r="E48" s="21">
        <f t="shared" si="6"/>
        <v>232578.27499999999</v>
      </c>
      <c r="F48" s="21">
        <v>0</v>
      </c>
      <c r="G48" s="22">
        <v>0</v>
      </c>
      <c r="H48" s="22">
        <f>SUM(C48:G48)</f>
        <v>982830.77500000002</v>
      </c>
    </row>
    <row r="49" spans="1:8">
      <c r="A49" s="7">
        <v>215047</v>
      </c>
      <c r="B49" s="8" t="s">
        <v>352</v>
      </c>
      <c r="C49" s="21">
        <v>21395.49</v>
      </c>
      <c r="D49" s="21">
        <v>0</v>
      </c>
      <c r="E49" s="21">
        <f t="shared" si="6"/>
        <v>6632.6019000000006</v>
      </c>
      <c r="F49" s="21">
        <v>0</v>
      </c>
      <c r="G49" s="22">
        <v>0</v>
      </c>
      <c r="H49" s="22">
        <f>SUM(C49:G49)</f>
        <v>28028.091900000003</v>
      </c>
    </row>
    <row r="50" spans="1:8">
      <c r="A50" s="7">
        <v>215203</v>
      </c>
      <c r="B50" s="8" t="s">
        <v>134</v>
      </c>
      <c r="C50" s="21">
        <v>0</v>
      </c>
      <c r="D50" s="21">
        <v>0</v>
      </c>
      <c r="E50" s="21">
        <f t="shared" si="6"/>
        <v>0</v>
      </c>
      <c r="F50" s="21">
        <v>0</v>
      </c>
      <c r="G50" s="22">
        <v>10282</v>
      </c>
      <c r="H50" s="22">
        <f t="shared" si="7"/>
        <v>10282</v>
      </c>
    </row>
    <row r="51" spans="1:8">
      <c r="A51" s="7">
        <v>216021</v>
      </c>
      <c r="B51" s="8" t="s">
        <v>252</v>
      </c>
      <c r="C51" s="21">
        <v>0</v>
      </c>
      <c r="D51" s="21">
        <v>0</v>
      </c>
      <c r="E51" s="21">
        <f t="shared" si="6"/>
        <v>0</v>
      </c>
      <c r="F51" s="21">
        <v>0</v>
      </c>
      <c r="G51" s="22">
        <v>8000</v>
      </c>
      <c r="H51" s="22">
        <f>SUM(C51:G51)</f>
        <v>8000</v>
      </c>
    </row>
    <row r="52" spans="1:8">
      <c r="A52" s="7">
        <v>216024</v>
      </c>
      <c r="B52" s="8" t="s">
        <v>136</v>
      </c>
      <c r="C52" s="26">
        <v>0</v>
      </c>
      <c r="D52" s="27">
        <v>0</v>
      </c>
      <c r="E52" s="27">
        <f t="shared" si="6"/>
        <v>0</v>
      </c>
      <c r="F52" s="27">
        <v>0</v>
      </c>
      <c r="G52" s="27">
        <v>5000</v>
      </c>
      <c r="H52" s="27">
        <f>SUM(C52:G52)</f>
        <v>5000</v>
      </c>
    </row>
    <row r="53" spans="1:8">
      <c r="A53" s="7">
        <v>216052</v>
      </c>
      <c r="B53" s="8" t="s">
        <v>253</v>
      </c>
      <c r="C53" s="26">
        <v>0</v>
      </c>
      <c r="D53" s="27">
        <v>0</v>
      </c>
      <c r="E53" s="27">
        <f t="shared" si="6"/>
        <v>0</v>
      </c>
      <c r="F53" s="27">
        <v>0</v>
      </c>
      <c r="G53" s="27">
        <v>100000</v>
      </c>
      <c r="H53" s="27">
        <f>SUM(C53:G53)</f>
        <v>100000</v>
      </c>
    </row>
    <row r="54" spans="1:8">
      <c r="A54" s="7">
        <v>216055</v>
      </c>
      <c r="B54" s="8" t="s">
        <v>254</v>
      </c>
      <c r="C54" s="26">
        <f>353754+6000+21000</f>
        <v>380754</v>
      </c>
      <c r="D54" s="27">
        <v>233119.7</v>
      </c>
      <c r="E54" s="27">
        <f t="shared" si="6"/>
        <v>190300.84699999998</v>
      </c>
      <c r="F54" s="27">
        <v>0</v>
      </c>
      <c r="G54" s="27">
        <f>56331+5000+10000</f>
        <v>71331</v>
      </c>
      <c r="H54" s="27">
        <f t="shared" si="7"/>
        <v>875505.5469999999</v>
      </c>
    </row>
    <row r="55" spans="1:8">
      <c r="A55" s="7">
        <v>216057</v>
      </c>
      <c r="B55" s="8" t="s">
        <v>255</v>
      </c>
      <c r="C55" s="26">
        <v>102480</v>
      </c>
      <c r="D55" s="27">
        <v>0</v>
      </c>
      <c r="E55" s="27">
        <f t="shared" si="6"/>
        <v>31768.799999999999</v>
      </c>
      <c r="F55" s="27">
        <v>0</v>
      </c>
      <c r="G55" s="27">
        <v>0</v>
      </c>
      <c r="H55" s="27">
        <f t="shared" si="7"/>
        <v>134248.79999999999</v>
      </c>
    </row>
    <row r="56" spans="1:8">
      <c r="A56" s="7">
        <v>216070</v>
      </c>
      <c r="B56" s="8" t="s">
        <v>256</v>
      </c>
      <c r="C56" s="21">
        <v>112376</v>
      </c>
      <c r="D56" s="22">
        <v>32615.32</v>
      </c>
      <c r="E56" s="22">
        <f t="shared" si="6"/>
        <v>44947.309200000003</v>
      </c>
      <c r="F56" s="22">
        <v>0</v>
      </c>
      <c r="G56" s="22">
        <v>36842</v>
      </c>
      <c r="H56" s="22">
        <f>SUM(C56:G56)</f>
        <v>226780.62920000002</v>
      </c>
    </row>
    <row r="57" spans="1:8">
      <c r="A57" s="7">
        <v>216074</v>
      </c>
      <c r="B57" s="8" t="s">
        <v>257</v>
      </c>
      <c r="C57" s="26">
        <v>0</v>
      </c>
      <c r="D57" s="27">
        <v>0</v>
      </c>
      <c r="E57" s="27">
        <f t="shared" si="6"/>
        <v>0</v>
      </c>
      <c r="F57" s="27">
        <v>0</v>
      </c>
      <c r="G57" s="27">
        <v>740107</v>
      </c>
      <c r="H57" s="27">
        <f t="shared" si="7"/>
        <v>740107</v>
      </c>
    </row>
    <row r="58" spans="1:8">
      <c r="A58" s="7">
        <v>216076</v>
      </c>
      <c r="B58" s="8" t="s">
        <v>258</v>
      </c>
      <c r="C58" s="26">
        <v>0</v>
      </c>
      <c r="D58" s="27">
        <v>0</v>
      </c>
      <c r="E58" s="27">
        <f t="shared" si="6"/>
        <v>0</v>
      </c>
      <c r="F58" s="27">
        <v>0</v>
      </c>
      <c r="G58" s="27">
        <v>25500</v>
      </c>
      <c r="H58" s="27">
        <f t="shared" si="7"/>
        <v>25500</v>
      </c>
    </row>
    <row r="59" spans="1:8">
      <c r="A59" s="7">
        <v>216081</v>
      </c>
      <c r="B59" s="8" t="s">
        <v>259</v>
      </c>
      <c r="C59" s="21">
        <v>51849</v>
      </c>
      <c r="D59" s="22">
        <v>23994.14</v>
      </c>
      <c r="E59" s="22">
        <f t="shared" si="6"/>
        <v>23511.3734</v>
      </c>
      <c r="F59" s="22">
        <v>0</v>
      </c>
      <c r="G59" s="22">
        <v>62021</v>
      </c>
      <c r="H59" s="22">
        <f>SUM(C59:G59)</f>
        <v>161375.5134</v>
      </c>
    </row>
    <row r="60" spans="1:8">
      <c r="A60" s="7">
        <v>216101</v>
      </c>
      <c r="B60" s="8" t="s">
        <v>35</v>
      </c>
      <c r="C60" s="26">
        <v>0</v>
      </c>
      <c r="D60" s="27">
        <v>0</v>
      </c>
      <c r="E60" s="27">
        <f t="shared" si="6"/>
        <v>0</v>
      </c>
      <c r="F60" s="27">
        <v>0</v>
      </c>
      <c r="G60" s="27">
        <v>15000</v>
      </c>
      <c r="H60" s="27">
        <f>SUM(C60:G60)</f>
        <v>15000</v>
      </c>
    </row>
    <row r="61" spans="1:8">
      <c r="A61" s="7">
        <v>216102</v>
      </c>
      <c r="B61" s="8" t="s">
        <v>36</v>
      </c>
      <c r="C61" s="26">
        <v>0</v>
      </c>
      <c r="D61" s="27">
        <v>0</v>
      </c>
      <c r="E61" s="27">
        <f t="shared" si="6"/>
        <v>0</v>
      </c>
      <c r="F61" s="27">
        <v>0</v>
      </c>
      <c r="G61" s="27">
        <v>10000</v>
      </c>
      <c r="H61" s="27">
        <f>SUM(C61:G61)</f>
        <v>10000</v>
      </c>
    </row>
    <row r="62" spans="1:8">
      <c r="A62" s="7">
        <v>216111</v>
      </c>
      <c r="B62" s="8" t="s">
        <v>15</v>
      </c>
      <c r="C62" s="21">
        <v>0</v>
      </c>
      <c r="D62" s="22">
        <v>0</v>
      </c>
      <c r="E62" s="22">
        <f t="shared" si="6"/>
        <v>0</v>
      </c>
      <c r="F62" s="22">
        <v>0</v>
      </c>
      <c r="G62" s="22">
        <v>64675</v>
      </c>
      <c r="H62" s="22">
        <f>SUM(C62:G62)</f>
        <v>64675</v>
      </c>
    </row>
    <row r="63" spans="1:8">
      <c r="A63" s="7">
        <v>216900</v>
      </c>
      <c r="B63" s="8" t="s">
        <v>260</v>
      </c>
      <c r="C63" s="21">
        <v>0</v>
      </c>
      <c r="D63" s="22">
        <v>0</v>
      </c>
      <c r="E63" s="22">
        <f t="shared" si="6"/>
        <v>0</v>
      </c>
      <c r="F63" s="22">
        <v>0</v>
      </c>
      <c r="G63" s="22">
        <v>29350</v>
      </c>
      <c r="H63" s="22">
        <f t="shared" si="7"/>
        <v>29350</v>
      </c>
    </row>
    <row r="64" spans="1:8">
      <c r="A64" s="7">
        <v>217029</v>
      </c>
      <c r="B64" s="8" t="s">
        <v>69</v>
      </c>
      <c r="C64" s="22">
        <v>137600</v>
      </c>
      <c r="D64" s="22">
        <v>77736</v>
      </c>
      <c r="E64" s="22">
        <f t="shared" si="6"/>
        <v>66754.16</v>
      </c>
      <c r="F64" s="22">
        <v>0</v>
      </c>
      <c r="G64" s="22">
        <v>22727</v>
      </c>
      <c r="H64" s="22">
        <f t="shared" ref="H64:H70" si="8">SUM(C64:G64)</f>
        <v>304817.16000000003</v>
      </c>
    </row>
    <row r="65" spans="1:8">
      <c r="A65" s="7">
        <v>217029</v>
      </c>
      <c r="B65" s="8" t="s">
        <v>138</v>
      </c>
      <c r="C65" s="22">
        <v>117793</v>
      </c>
      <c r="D65" s="22">
        <v>0</v>
      </c>
      <c r="E65" s="22">
        <f t="shared" si="6"/>
        <v>36515.83</v>
      </c>
      <c r="F65" s="22">
        <v>0</v>
      </c>
      <c r="G65" s="22">
        <v>0</v>
      </c>
      <c r="H65" s="22">
        <f t="shared" si="8"/>
        <v>154308.83000000002</v>
      </c>
    </row>
    <row r="66" spans="1:8">
      <c r="A66" s="7">
        <v>217037</v>
      </c>
      <c r="B66" s="8" t="s">
        <v>261</v>
      </c>
      <c r="C66" s="21">
        <v>74009.490000000005</v>
      </c>
      <c r="D66" s="22">
        <v>0</v>
      </c>
      <c r="E66" s="22">
        <f t="shared" si="6"/>
        <v>22942.941900000002</v>
      </c>
      <c r="F66" s="22">
        <v>0</v>
      </c>
      <c r="G66" s="22">
        <v>5000</v>
      </c>
      <c r="H66" s="22">
        <f t="shared" si="8"/>
        <v>101952.43190000001</v>
      </c>
    </row>
    <row r="67" spans="1:8">
      <c r="A67" s="7">
        <v>218003</v>
      </c>
      <c r="B67" s="8" t="s">
        <v>137</v>
      </c>
      <c r="C67" s="21">
        <v>54232</v>
      </c>
      <c r="D67" s="22">
        <v>0</v>
      </c>
      <c r="E67" s="22">
        <f t="shared" si="6"/>
        <v>16811.919999999998</v>
      </c>
      <c r="F67" s="22">
        <v>0</v>
      </c>
      <c r="G67" s="22">
        <v>0</v>
      </c>
      <c r="H67" s="22">
        <f t="shared" si="8"/>
        <v>71043.92</v>
      </c>
    </row>
    <row r="68" spans="1:8">
      <c r="A68" s="7">
        <v>219033</v>
      </c>
      <c r="B68" s="8" t="s">
        <v>262</v>
      </c>
      <c r="C68" s="21">
        <v>32766.5</v>
      </c>
      <c r="D68" s="22">
        <v>0</v>
      </c>
      <c r="E68" s="22">
        <f t="shared" si="6"/>
        <v>10157.615</v>
      </c>
      <c r="F68" s="22">
        <v>0</v>
      </c>
      <c r="G68" s="22">
        <v>5000</v>
      </c>
      <c r="H68" s="22">
        <f>SUM(C68:G68)</f>
        <v>47924.114999999998</v>
      </c>
    </row>
    <row r="69" spans="1:8">
      <c r="A69" s="7">
        <v>230003</v>
      </c>
      <c r="B69" s="8" t="s">
        <v>263</v>
      </c>
      <c r="C69" s="22">
        <v>0</v>
      </c>
      <c r="D69" s="22">
        <v>0</v>
      </c>
      <c r="E69" s="22">
        <f t="shared" si="6"/>
        <v>0</v>
      </c>
      <c r="F69" s="22">
        <v>0</v>
      </c>
      <c r="G69" s="22">
        <v>0</v>
      </c>
      <c r="H69" s="22">
        <f t="shared" si="8"/>
        <v>0</v>
      </c>
    </row>
    <row r="70" spans="1:8">
      <c r="A70" s="7">
        <v>230001</v>
      </c>
      <c r="B70" s="8" t="s">
        <v>264</v>
      </c>
      <c r="C70" s="22">
        <v>869592.38</v>
      </c>
      <c r="D70" s="22">
        <v>0</v>
      </c>
      <c r="E70" s="22">
        <f t="shared" si="6"/>
        <v>269573.63780000003</v>
      </c>
      <c r="F70" s="22">
        <v>0</v>
      </c>
      <c r="G70" s="22">
        <v>20308</v>
      </c>
      <c r="H70" s="22">
        <f t="shared" si="8"/>
        <v>1159474.0178</v>
      </c>
    </row>
    <row r="71" spans="1:8">
      <c r="A71" s="7" t="s">
        <v>348</v>
      </c>
      <c r="C71" s="21"/>
      <c r="D71" s="22"/>
      <c r="E71" s="22"/>
      <c r="F71" s="22"/>
      <c r="G71" s="22"/>
      <c r="H71" s="22"/>
    </row>
    <row r="72" spans="1:8">
      <c r="B72" s="8" t="s">
        <v>327</v>
      </c>
      <c r="C72" s="24">
        <f t="shared" ref="C72:H72" si="9">SUM(C21:C71)</f>
        <v>4237223.5</v>
      </c>
      <c r="D72" s="24">
        <f t="shared" si="9"/>
        <v>684094.36</v>
      </c>
      <c r="E72" s="24">
        <f t="shared" si="9"/>
        <v>1525608.5365999998</v>
      </c>
      <c r="F72" s="24">
        <f t="shared" si="9"/>
        <v>10000</v>
      </c>
      <c r="G72" s="24">
        <f>SUM(G21:G71)</f>
        <v>1745487.47</v>
      </c>
      <c r="H72" s="24">
        <f t="shared" si="9"/>
        <v>8202413.8666000012</v>
      </c>
    </row>
    <row r="73" spans="1:8">
      <c r="A73" s="7" t="s">
        <v>348</v>
      </c>
      <c r="C73" s="21"/>
      <c r="D73" s="22"/>
      <c r="E73" s="22"/>
      <c r="F73" s="22"/>
      <c r="G73" s="22"/>
      <c r="H73" s="22"/>
    </row>
    <row r="74" spans="1:8">
      <c r="A74" s="5"/>
      <c r="B74" s="19" t="s">
        <v>50</v>
      </c>
      <c r="C74" s="21"/>
      <c r="D74" s="22"/>
      <c r="E74" s="22"/>
      <c r="F74" s="22"/>
      <c r="G74" s="22"/>
      <c r="H74" s="22"/>
    </row>
    <row r="75" spans="1:8">
      <c r="A75" s="7">
        <v>212004</v>
      </c>
      <c r="B75" s="8" t="s">
        <v>99</v>
      </c>
      <c r="C75" s="21">
        <v>642320</v>
      </c>
      <c r="D75" s="21">
        <v>300796.21000000002</v>
      </c>
      <c r="E75" s="21">
        <f t="shared" ref="E75:E80" si="10">SUM(C75:D75)*0.31</f>
        <v>292366.02509999997</v>
      </c>
      <c r="F75" s="21">
        <v>0</v>
      </c>
      <c r="G75" s="22">
        <v>372561</v>
      </c>
      <c r="H75" s="22">
        <f t="shared" ref="H75:H80" si="11">SUM(C75:G75)</f>
        <v>1608043.2350999999</v>
      </c>
    </row>
    <row r="76" spans="1:8">
      <c r="A76" s="7">
        <v>212004</v>
      </c>
      <c r="B76" s="8" t="s">
        <v>108</v>
      </c>
      <c r="C76" s="21">
        <v>0</v>
      </c>
      <c r="D76" s="22">
        <v>0</v>
      </c>
      <c r="E76" s="22">
        <f t="shared" si="10"/>
        <v>0</v>
      </c>
      <c r="F76" s="22">
        <v>0</v>
      </c>
      <c r="G76" s="22">
        <v>823288</v>
      </c>
      <c r="H76" s="22">
        <f t="shared" si="11"/>
        <v>823288</v>
      </c>
    </row>
    <row r="77" spans="1:8">
      <c r="A77" s="7">
        <v>212005</v>
      </c>
      <c r="B77" s="8" t="s">
        <v>100</v>
      </c>
      <c r="C77" s="21">
        <v>100858.5</v>
      </c>
      <c r="D77" s="22">
        <v>38169</v>
      </c>
      <c r="E77" s="22">
        <f t="shared" si="10"/>
        <v>43098.525000000001</v>
      </c>
      <c r="F77" s="22">
        <v>0</v>
      </c>
      <c r="G77" s="22">
        <v>4000</v>
      </c>
      <c r="H77" s="22">
        <f t="shared" si="11"/>
        <v>186126.02499999999</v>
      </c>
    </row>
    <row r="78" spans="1:8">
      <c r="A78" s="7">
        <v>212008</v>
      </c>
      <c r="B78" s="8" t="s">
        <v>101</v>
      </c>
      <c r="C78" s="21">
        <v>0</v>
      </c>
      <c r="D78" s="22">
        <v>0</v>
      </c>
      <c r="E78" s="22">
        <f t="shared" si="10"/>
        <v>0</v>
      </c>
      <c r="F78" s="22">
        <v>0</v>
      </c>
      <c r="G78" s="22">
        <v>4000</v>
      </c>
      <c r="H78" s="22">
        <f t="shared" si="11"/>
        <v>4000</v>
      </c>
    </row>
    <row r="79" spans="1:8">
      <c r="A79" s="7">
        <v>212009</v>
      </c>
      <c r="B79" s="8" t="s">
        <v>102</v>
      </c>
      <c r="C79" s="21">
        <v>0</v>
      </c>
      <c r="D79" s="22">
        <v>0</v>
      </c>
      <c r="E79" s="22">
        <f t="shared" si="10"/>
        <v>0</v>
      </c>
      <c r="F79" s="22">
        <v>0</v>
      </c>
      <c r="G79" s="22">
        <v>0</v>
      </c>
      <c r="H79" s="22">
        <f t="shared" si="11"/>
        <v>0</v>
      </c>
    </row>
    <row r="80" spans="1:8">
      <c r="A80" s="7">
        <v>216098</v>
      </c>
      <c r="B80" s="8" t="s">
        <v>103</v>
      </c>
      <c r="C80" s="21">
        <v>0</v>
      </c>
      <c r="D80" s="22">
        <v>0</v>
      </c>
      <c r="E80" s="22">
        <f t="shared" si="10"/>
        <v>0</v>
      </c>
      <c r="F80" s="22">
        <v>0</v>
      </c>
      <c r="G80" s="22">
        <v>7000</v>
      </c>
      <c r="H80" s="22">
        <f t="shared" si="11"/>
        <v>7000</v>
      </c>
    </row>
    <row r="81" spans="1:8">
      <c r="A81" s="7" t="s">
        <v>348</v>
      </c>
      <c r="C81" s="21"/>
      <c r="D81" s="22"/>
      <c r="E81" s="22"/>
      <c r="F81" s="22"/>
      <c r="G81" s="22"/>
      <c r="H81" s="22"/>
    </row>
    <row r="82" spans="1:8">
      <c r="B82" s="8" t="s">
        <v>49</v>
      </c>
      <c r="C82" s="24">
        <f t="shared" ref="C82:H82" si="12">SUM(C75:C81)</f>
        <v>743178.5</v>
      </c>
      <c r="D82" s="24">
        <f t="shared" si="12"/>
        <v>338965.21</v>
      </c>
      <c r="E82" s="24">
        <f t="shared" si="12"/>
        <v>335464.55009999999</v>
      </c>
      <c r="F82" s="24">
        <f t="shared" si="12"/>
        <v>0</v>
      </c>
      <c r="G82" s="24">
        <f>SUM(G75:G81)</f>
        <v>1210849</v>
      </c>
      <c r="H82" s="24">
        <f t="shared" si="12"/>
        <v>2628457.2601000001</v>
      </c>
    </row>
    <row r="83" spans="1:8">
      <c r="A83" s="7" t="s">
        <v>348</v>
      </c>
      <c r="C83" s="21"/>
      <c r="D83" s="22"/>
      <c r="E83" s="22"/>
      <c r="F83" s="22"/>
      <c r="G83" s="22"/>
      <c r="H83" s="22"/>
    </row>
    <row r="84" spans="1:8">
      <c r="A84" s="5"/>
      <c r="B84" s="19" t="s">
        <v>310</v>
      </c>
      <c r="C84" s="21"/>
      <c r="D84" s="22"/>
      <c r="E84" s="22"/>
      <c r="F84" s="22"/>
      <c r="G84" s="22"/>
      <c r="H84" s="22"/>
    </row>
    <row r="85" spans="1:8">
      <c r="A85" s="7">
        <v>210008</v>
      </c>
      <c r="B85" s="8" t="s">
        <v>354</v>
      </c>
      <c r="C85" s="21">
        <v>358201.5</v>
      </c>
      <c r="D85" s="21">
        <v>19669</v>
      </c>
      <c r="E85" s="21">
        <f t="shared" ref="E85:E98" si="13">SUM(C85:D85)*0.31</f>
        <v>117139.855</v>
      </c>
      <c r="F85" s="22">
        <v>0</v>
      </c>
      <c r="G85" s="22">
        <f>17121+1190</f>
        <v>18311</v>
      </c>
      <c r="H85" s="22">
        <f t="shared" ref="H85:H98" si="14">SUM(C85:G85)</f>
        <v>513321.35499999998</v>
      </c>
    </row>
    <row r="86" spans="1:8">
      <c r="A86" s="7">
        <v>210009</v>
      </c>
      <c r="B86" s="8" t="s">
        <v>94</v>
      </c>
      <c r="C86" s="28">
        <v>1225341.49</v>
      </c>
      <c r="D86" s="22">
        <v>19669</v>
      </c>
      <c r="E86" s="22">
        <f t="shared" si="13"/>
        <v>385953.25189999997</v>
      </c>
      <c r="F86" s="22">
        <v>0</v>
      </c>
      <c r="G86" s="28">
        <f>15288-41</f>
        <v>15247</v>
      </c>
      <c r="H86" s="22">
        <f t="shared" si="14"/>
        <v>1646210.7419</v>
      </c>
    </row>
    <row r="87" spans="1:8">
      <c r="A87" s="7">
        <v>210010</v>
      </c>
      <c r="B87" s="8" t="s">
        <v>48</v>
      </c>
      <c r="C87" s="21">
        <v>30000</v>
      </c>
      <c r="D87" s="22">
        <v>0</v>
      </c>
      <c r="E87" s="22">
        <f>SUM(C87:D87)*0.31</f>
        <v>9300</v>
      </c>
      <c r="F87" s="22">
        <v>0</v>
      </c>
      <c r="G87" s="29">
        <v>2846</v>
      </c>
      <c r="H87" s="22">
        <f>SUM(C87:G87)</f>
        <v>42146</v>
      </c>
    </row>
    <row r="88" spans="1:8">
      <c r="A88" s="7">
        <v>210020</v>
      </c>
      <c r="B88" s="8" t="s">
        <v>95</v>
      </c>
      <c r="C88" s="21">
        <v>1074630.49</v>
      </c>
      <c r="D88" s="22">
        <v>15000</v>
      </c>
      <c r="E88" s="22">
        <f t="shared" si="13"/>
        <v>337785.45189999999</v>
      </c>
      <c r="F88" s="22">
        <v>0</v>
      </c>
      <c r="G88" s="22">
        <f>10446+143</f>
        <v>10589</v>
      </c>
      <c r="H88" s="22">
        <f t="shared" si="14"/>
        <v>1438004.9419</v>
      </c>
    </row>
    <row r="89" spans="1:8">
      <c r="A89" s="7">
        <v>210030</v>
      </c>
      <c r="B89" s="8" t="s">
        <v>355</v>
      </c>
      <c r="C89" s="21">
        <v>683439.02</v>
      </c>
      <c r="D89" s="22">
        <v>14544.51</v>
      </c>
      <c r="E89" s="22">
        <f t="shared" si="13"/>
        <v>216374.89430000001</v>
      </c>
      <c r="F89" s="22">
        <v>0</v>
      </c>
      <c r="G89" s="22">
        <f>6610-43</f>
        <v>6567</v>
      </c>
      <c r="H89" s="22">
        <f t="shared" si="14"/>
        <v>920925.42430000007</v>
      </c>
    </row>
    <row r="90" spans="1:8">
      <c r="A90" s="7">
        <v>210208</v>
      </c>
      <c r="B90" s="8" t="s">
        <v>356</v>
      </c>
      <c r="C90" s="21">
        <v>588043</v>
      </c>
      <c r="D90" s="22">
        <v>14544.51</v>
      </c>
      <c r="E90" s="22">
        <f t="shared" si="13"/>
        <v>186802.1281</v>
      </c>
      <c r="F90" s="22">
        <v>0</v>
      </c>
      <c r="G90" s="22">
        <f>6970-266</f>
        <v>6704</v>
      </c>
      <c r="H90" s="22">
        <f t="shared" si="14"/>
        <v>796093.63809999998</v>
      </c>
    </row>
    <row r="91" spans="1:8">
      <c r="A91" s="7">
        <v>210210</v>
      </c>
      <c r="B91" s="8" t="s">
        <v>96</v>
      </c>
      <c r="C91" s="21">
        <v>100253.5</v>
      </c>
      <c r="D91" s="22">
        <v>0</v>
      </c>
      <c r="E91" s="22">
        <f t="shared" si="13"/>
        <v>31078.584999999999</v>
      </c>
      <c r="F91" s="22">
        <v>5000</v>
      </c>
      <c r="G91" s="29">
        <v>12916</v>
      </c>
      <c r="H91" s="22">
        <f t="shared" si="14"/>
        <v>149248.08499999999</v>
      </c>
    </row>
    <row r="92" spans="1:8">
      <c r="A92" s="7">
        <v>216014</v>
      </c>
      <c r="B92" s="8" t="s">
        <v>43</v>
      </c>
      <c r="C92" s="21">
        <v>0</v>
      </c>
      <c r="D92" s="22">
        <v>0</v>
      </c>
      <c r="E92" s="22">
        <f t="shared" si="13"/>
        <v>0</v>
      </c>
      <c r="F92" s="22">
        <v>0</v>
      </c>
      <c r="G92" s="29">
        <v>0</v>
      </c>
      <c r="H92" s="22">
        <f t="shared" si="14"/>
        <v>0</v>
      </c>
    </row>
    <row r="93" spans="1:8">
      <c r="A93" s="7">
        <v>216039</v>
      </c>
      <c r="B93" s="8" t="s">
        <v>97</v>
      </c>
      <c r="C93" s="21">
        <v>126000</v>
      </c>
      <c r="D93" s="22">
        <v>42992</v>
      </c>
      <c r="E93" s="22">
        <f t="shared" si="13"/>
        <v>52387.519999999997</v>
      </c>
      <c r="F93" s="22">
        <v>0</v>
      </c>
      <c r="G93" s="29">
        <v>3297</v>
      </c>
      <c r="H93" s="22">
        <f t="shared" si="14"/>
        <v>224676.52</v>
      </c>
    </row>
    <row r="94" spans="1:8">
      <c r="A94" s="7">
        <v>216037</v>
      </c>
      <c r="B94" s="8" t="s">
        <v>70</v>
      </c>
      <c r="C94" s="26">
        <v>0</v>
      </c>
      <c r="D94" s="27">
        <v>0</v>
      </c>
      <c r="E94" s="27">
        <f t="shared" si="13"/>
        <v>0</v>
      </c>
      <c r="F94" s="27">
        <v>0</v>
      </c>
      <c r="G94" s="27">
        <f>1310-414</f>
        <v>896</v>
      </c>
      <c r="H94" s="27">
        <f t="shared" si="14"/>
        <v>896</v>
      </c>
    </row>
    <row r="95" spans="1:8">
      <c r="A95" s="7">
        <v>216046</v>
      </c>
      <c r="B95" s="8" t="s">
        <v>37</v>
      </c>
      <c r="C95" s="26">
        <v>96009.5</v>
      </c>
      <c r="D95" s="27">
        <v>0</v>
      </c>
      <c r="E95" s="27">
        <f t="shared" si="13"/>
        <v>29762.945</v>
      </c>
      <c r="F95" s="27">
        <v>0</v>
      </c>
      <c r="G95" s="27">
        <f>1582-97</f>
        <v>1485</v>
      </c>
      <c r="H95" s="27">
        <f t="shared" si="14"/>
        <v>127257.44500000001</v>
      </c>
    </row>
    <row r="96" spans="1:8">
      <c r="A96" s="7">
        <v>216048</v>
      </c>
      <c r="B96" s="8" t="s">
        <v>38</v>
      </c>
      <c r="C96" s="26">
        <v>93762</v>
      </c>
      <c r="D96" s="27">
        <v>0</v>
      </c>
      <c r="E96" s="27">
        <f t="shared" si="13"/>
        <v>29066.22</v>
      </c>
      <c r="F96" s="27">
        <v>0</v>
      </c>
      <c r="G96" s="27">
        <f>2311-350</f>
        <v>1961</v>
      </c>
      <c r="H96" s="27">
        <f t="shared" si="14"/>
        <v>124789.22</v>
      </c>
    </row>
    <row r="97" spans="1:8">
      <c r="A97" s="7">
        <v>216049</v>
      </c>
      <c r="B97" s="8" t="s">
        <v>39</v>
      </c>
      <c r="C97" s="26">
        <v>0</v>
      </c>
      <c r="D97" s="27">
        <v>0</v>
      </c>
      <c r="E97" s="27">
        <f t="shared" si="13"/>
        <v>0</v>
      </c>
      <c r="F97" s="27">
        <v>0</v>
      </c>
      <c r="G97" s="27">
        <f>403-117</f>
        <v>286</v>
      </c>
      <c r="H97" s="27">
        <f t="shared" si="14"/>
        <v>286</v>
      </c>
    </row>
    <row r="98" spans="1:8">
      <c r="A98" s="7">
        <v>216077</v>
      </c>
      <c r="B98" s="8" t="s">
        <v>98</v>
      </c>
      <c r="C98" s="26">
        <v>0</v>
      </c>
      <c r="D98" s="27">
        <v>0</v>
      </c>
      <c r="E98" s="27">
        <f t="shared" si="13"/>
        <v>0</v>
      </c>
      <c r="F98" s="27">
        <v>0</v>
      </c>
      <c r="G98" s="27">
        <v>0</v>
      </c>
      <c r="H98" s="27">
        <f t="shared" si="14"/>
        <v>0</v>
      </c>
    </row>
    <row r="99" spans="1:8">
      <c r="A99" s="7" t="s">
        <v>348</v>
      </c>
      <c r="C99" s="21"/>
      <c r="D99" s="22"/>
      <c r="E99" s="22"/>
      <c r="F99" s="22"/>
      <c r="G99" s="22"/>
      <c r="H99" s="22"/>
    </row>
    <row r="100" spans="1:8">
      <c r="B100" s="8" t="s">
        <v>323</v>
      </c>
      <c r="C100" s="24">
        <f t="shared" ref="C100:H100" si="15">SUM(C85:C99)</f>
        <v>4375680.5</v>
      </c>
      <c r="D100" s="24">
        <f t="shared" si="15"/>
        <v>126419.01999999999</v>
      </c>
      <c r="E100" s="24">
        <f t="shared" si="15"/>
        <v>1395650.8512000002</v>
      </c>
      <c r="F100" s="24">
        <f t="shared" si="15"/>
        <v>5000</v>
      </c>
      <c r="G100" s="24">
        <f>SUM(G85:G99)</f>
        <v>81105</v>
      </c>
      <c r="H100" s="24">
        <f t="shared" si="15"/>
        <v>5983855.3711999999</v>
      </c>
    </row>
    <row r="101" spans="1:8">
      <c r="A101" s="7" t="s">
        <v>348</v>
      </c>
      <c r="C101" s="21"/>
      <c r="D101" s="22"/>
      <c r="E101" s="22"/>
      <c r="F101" s="22"/>
      <c r="G101" s="29"/>
      <c r="H101" s="22"/>
    </row>
    <row r="102" spans="1:8">
      <c r="A102" s="5"/>
      <c r="B102" s="19" t="s">
        <v>311</v>
      </c>
      <c r="C102" s="21"/>
      <c r="D102" s="22"/>
      <c r="E102" s="22"/>
      <c r="F102" s="22"/>
      <c r="G102" s="29"/>
      <c r="H102" s="22"/>
    </row>
    <row r="103" spans="1:8">
      <c r="A103" s="7">
        <v>210078</v>
      </c>
      <c r="B103" s="8" t="s">
        <v>139</v>
      </c>
      <c r="C103" s="21">
        <v>0</v>
      </c>
      <c r="D103" s="21">
        <v>0</v>
      </c>
      <c r="E103" s="21">
        <f t="shared" ref="E103:E124" si="16">SUM(C103:D103)*0.31</f>
        <v>0</v>
      </c>
      <c r="F103" s="22">
        <v>0</v>
      </c>
      <c r="G103" s="29">
        <v>800</v>
      </c>
      <c r="H103" s="22">
        <f t="shared" ref="H103:H124" si="17">SUM(C103:G103)</f>
        <v>800</v>
      </c>
    </row>
    <row r="104" spans="1:8">
      <c r="A104" s="7">
        <v>210080</v>
      </c>
      <c r="B104" s="8" t="s">
        <v>80</v>
      </c>
      <c r="C104" s="21">
        <v>80000</v>
      </c>
      <c r="D104" s="21">
        <v>0</v>
      </c>
      <c r="E104" s="21">
        <f t="shared" si="16"/>
        <v>24800</v>
      </c>
      <c r="F104" s="22">
        <v>0</v>
      </c>
      <c r="G104" s="29">
        <v>0</v>
      </c>
      <c r="H104" s="22">
        <f t="shared" si="17"/>
        <v>104800</v>
      </c>
    </row>
    <row r="105" spans="1:8">
      <c r="A105" s="7">
        <v>210102</v>
      </c>
      <c r="B105" s="8" t="s">
        <v>357</v>
      </c>
      <c r="C105" s="21">
        <v>836515.99</v>
      </c>
      <c r="D105" s="22">
        <v>46181.5</v>
      </c>
      <c r="E105" s="22">
        <f t="shared" si="16"/>
        <v>273636.2219</v>
      </c>
      <c r="F105" s="22">
        <v>0</v>
      </c>
      <c r="G105" s="29">
        <v>11781</v>
      </c>
      <c r="H105" s="22">
        <f t="shared" si="17"/>
        <v>1168114.7119</v>
      </c>
    </row>
    <row r="106" spans="1:8">
      <c r="A106" s="7">
        <v>210103</v>
      </c>
      <c r="B106" s="8" t="s">
        <v>81</v>
      </c>
      <c r="C106" s="21">
        <v>139753.5</v>
      </c>
      <c r="D106" s="22">
        <v>21496</v>
      </c>
      <c r="E106" s="22">
        <f t="shared" si="16"/>
        <v>49987.345000000001</v>
      </c>
      <c r="F106" s="22">
        <v>0</v>
      </c>
      <c r="G106" s="29">
        <f>3620-449</f>
        <v>3171</v>
      </c>
      <c r="H106" s="22">
        <f t="shared" si="17"/>
        <v>214407.845</v>
      </c>
    </row>
    <row r="107" spans="1:8">
      <c r="A107" s="7">
        <v>210104</v>
      </c>
      <c r="B107" s="8" t="s">
        <v>17</v>
      </c>
      <c r="C107" s="21">
        <v>0</v>
      </c>
      <c r="D107" s="22">
        <v>0</v>
      </c>
      <c r="E107" s="22">
        <f t="shared" si="16"/>
        <v>0</v>
      </c>
      <c r="F107" s="22">
        <v>0</v>
      </c>
      <c r="G107" s="29">
        <v>1178</v>
      </c>
      <c r="H107" s="22">
        <f t="shared" si="17"/>
        <v>1178</v>
      </c>
    </row>
    <row r="108" spans="1:8">
      <c r="A108" s="7">
        <v>210105</v>
      </c>
      <c r="B108" s="8" t="s">
        <v>82</v>
      </c>
      <c r="C108" s="30">
        <v>465495.49</v>
      </c>
      <c r="D108" s="29">
        <v>19346.400000000001</v>
      </c>
      <c r="E108" s="29">
        <f t="shared" si="16"/>
        <v>150300.9859</v>
      </c>
      <c r="F108" s="29">
        <v>0</v>
      </c>
      <c r="G108" s="29">
        <f>18744-7298</f>
        <v>11446</v>
      </c>
      <c r="H108" s="22">
        <f t="shared" si="17"/>
        <v>646588.87589999998</v>
      </c>
    </row>
    <row r="109" spans="1:8">
      <c r="A109" s="7">
        <v>210106</v>
      </c>
      <c r="B109" s="8" t="s">
        <v>83</v>
      </c>
      <c r="C109" s="21">
        <v>259854</v>
      </c>
      <c r="D109" s="22">
        <v>23645.599999999999</v>
      </c>
      <c r="E109" s="22">
        <f t="shared" si="16"/>
        <v>87884.875999999989</v>
      </c>
      <c r="F109" s="22">
        <v>0</v>
      </c>
      <c r="G109" s="29">
        <v>7298</v>
      </c>
      <c r="H109" s="22">
        <f t="shared" si="17"/>
        <v>378682.47599999997</v>
      </c>
    </row>
    <row r="110" spans="1:8">
      <c r="A110" s="7">
        <v>210108</v>
      </c>
      <c r="B110" s="8" t="s">
        <v>84</v>
      </c>
      <c r="C110" s="21">
        <v>410890</v>
      </c>
      <c r="D110" s="22">
        <v>18290.5</v>
      </c>
      <c r="E110" s="22">
        <f t="shared" si="16"/>
        <v>133045.95499999999</v>
      </c>
      <c r="F110" s="22">
        <v>0</v>
      </c>
      <c r="G110" s="29">
        <v>10603</v>
      </c>
      <c r="H110" s="22">
        <f t="shared" si="17"/>
        <v>572829.45499999996</v>
      </c>
    </row>
    <row r="111" spans="1:8">
      <c r="A111" s="7">
        <v>210111</v>
      </c>
      <c r="B111" s="8" t="s">
        <v>85</v>
      </c>
      <c r="C111" s="21">
        <v>211815.5</v>
      </c>
      <c r="D111" s="22">
        <v>21496</v>
      </c>
      <c r="E111" s="22">
        <f t="shared" si="16"/>
        <v>72326.565000000002</v>
      </c>
      <c r="F111" s="22">
        <v>0</v>
      </c>
      <c r="G111" s="29">
        <f>4199-423</f>
        <v>3776</v>
      </c>
      <c r="H111" s="22">
        <f t="shared" si="17"/>
        <v>309414.065</v>
      </c>
    </row>
    <row r="112" spans="1:8">
      <c r="A112" s="7">
        <v>210113</v>
      </c>
      <c r="B112" s="8" t="s">
        <v>86</v>
      </c>
      <c r="C112" s="21">
        <v>275310</v>
      </c>
      <c r="D112" s="22">
        <v>29503.5</v>
      </c>
      <c r="E112" s="22">
        <f t="shared" si="16"/>
        <v>94492.184999999998</v>
      </c>
      <c r="F112" s="22">
        <v>0</v>
      </c>
      <c r="G112" s="29">
        <v>7477</v>
      </c>
      <c r="H112" s="22">
        <f t="shared" si="17"/>
        <v>406782.685</v>
      </c>
    </row>
    <row r="113" spans="1:8">
      <c r="A113" s="7">
        <v>210115</v>
      </c>
      <c r="B113" s="8" t="s">
        <v>87</v>
      </c>
      <c r="C113" s="30">
        <v>0</v>
      </c>
      <c r="D113" s="29">
        <v>0</v>
      </c>
      <c r="E113" s="29">
        <f t="shared" si="16"/>
        <v>0</v>
      </c>
      <c r="F113" s="29">
        <v>0</v>
      </c>
      <c r="G113" s="29">
        <v>62824</v>
      </c>
      <c r="H113" s="22">
        <f t="shared" si="17"/>
        <v>62824</v>
      </c>
    </row>
    <row r="114" spans="1:8">
      <c r="A114" s="7">
        <v>210200</v>
      </c>
      <c r="B114" s="8" t="s">
        <v>88</v>
      </c>
      <c r="C114" s="21">
        <v>228889</v>
      </c>
      <c r="D114" s="22">
        <f>42992+11550</f>
        <v>54542</v>
      </c>
      <c r="E114" s="22">
        <f t="shared" si="16"/>
        <v>87863.61</v>
      </c>
      <c r="F114" s="22">
        <v>0</v>
      </c>
      <c r="G114" s="29">
        <v>8141</v>
      </c>
      <c r="H114" s="22">
        <f t="shared" si="17"/>
        <v>379435.61</v>
      </c>
    </row>
    <row r="115" spans="1:8">
      <c r="A115" s="7">
        <v>210225</v>
      </c>
      <c r="B115" s="8" t="s">
        <v>89</v>
      </c>
      <c r="C115" s="21">
        <v>43412</v>
      </c>
      <c r="D115" s="22">
        <v>0</v>
      </c>
      <c r="E115" s="22">
        <f t="shared" si="16"/>
        <v>13457.72</v>
      </c>
      <c r="F115" s="22">
        <v>35000</v>
      </c>
      <c r="G115" s="29">
        <v>13730</v>
      </c>
      <c r="H115" s="22">
        <f t="shared" si="17"/>
        <v>105599.72</v>
      </c>
    </row>
    <row r="116" spans="1:8">
      <c r="A116" s="7">
        <v>210318</v>
      </c>
      <c r="B116" s="8" t="s">
        <v>90</v>
      </c>
      <c r="C116" s="21">
        <v>0</v>
      </c>
      <c r="D116" s="22">
        <v>0</v>
      </c>
      <c r="E116" s="22">
        <f t="shared" si="16"/>
        <v>0</v>
      </c>
      <c r="F116" s="22">
        <v>0</v>
      </c>
      <c r="G116" s="29">
        <v>10000</v>
      </c>
      <c r="H116" s="22">
        <f t="shared" si="17"/>
        <v>10000</v>
      </c>
    </row>
    <row r="117" spans="1:8">
      <c r="A117" s="7">
        <v>210600</v>
      </c>
      <c r="B117" s="8" t="s">
        <v>91</v>
      </c>
      <c r="C117" s="21">
        <v>0</v>
      </c>
      <c r="D117" s="22">
        <v>0</v>
      </c>
      <c r="E117" s="22">
        <f t="shared" si="16"/>
        <v>0</v>
      </c>
      <c r="F117" s="22">
        <v>0</v>
      </c>
      <c r="G117" s="29">
        <v>194.49</v>
      </c>
      <c r="H117" s="22">
        <f t="shared" si="17"/>
        <v>194.49</v>
      </c>
    </row>
    <row r="118" spans="1:8">
      <c r="A118" s="7">
        <v>214015</v>
      </c>
      <c r="B118" s="8" t="s">
        <v>140</v>
      </c>
      <c r="C118" s="21">
        <v>15000</v>
      </c>
      <c r="D118" s="22">
        <v>0</v>
      </c>
      <c r="E118" s="22">
        <f t="shared" si="16"/>
        <v>4650</v>
      </c>
      <c r="F118" s="22">
        <v>0</v>
      </c>
      <c r="G118" s="29">
        <v>15360</v>
      </c>
      <c r="H118" s="22">
        <f t="shared" si="17"/>
        <v>35010</v>
      </c>
    </row>
    <row r="119" spans="1:8">
      <c r="A119" s="7">
        <v>216015</v>
      </c>
      <c r="B119" s="8" t="s">
        <v>44</v>
      </c>
      <c r="C119" s="21">
        <v>0</v>
      </c>
      <c r="D119" s="22">
        <v>0</v>
      </c>
      <c r="E119" s="22">
        <f t="shared" si="16"/>
        <v>0</v>
      </c>
      <c r="F119" s="22">
        <v>0</v>
      </c>
      <c r="G119" s="22">
        <v>0</v>
      </c>
      <c r="H119" s="22">
        <f t="shared" si="17"/>
        <v>0</v>
      </c>
    </row>
    <row r="120" spans="1:8">
      <c r="A120" s="7">
        <v>216054</v>
      </c>
      <c r="B120" s="8" t="s">
        <v>40</v>
      </c>
      <c r="C120" s="26">
        <v>213308.03</v>
      </c>
      <c r="D120" s="27">
        <v>0</v>
      </c>
      <c r="E120" s="27">
        <f t="shared" si="16"/>
        <v>66125.489300000001</v>
      </c>
      <c r="F120" s="27">
        <v>0</v>
      </c>
      <c r="G120" s="27">
        <f>2956+197</f>
        <v>3153</v>
      </c>
      <c r="H120" s="27">
        <f t="shared" si="17"/>
        <v>282586.51929999999</v>
      </c>
    </row>
    <row r="121" spans="1:8">
      <c r="A121" s="7">
        <v>216056</v>
      </c>
      <c r="B121" s="8" t="s">
        <v>92</v>
      </c>
      <c r="C121" s="26">
        <v>0</v>
      </c>
      <c r="D121" s="27">
        <v>0</v>
      </c>
      <c r="E121" s="27">
        <f t="shared" si="16"/>
        <v>0</v>
      </c>
      <c r="F121" s="27">
        <v>0</v>
      </c>
      <c r="G121" s="27">
        <v>118</v>
      </c>
      <c r="H121" s="27">
        <f t="shared" si="17"/>
        <v>118</v>
      </c>
    </row>
    <row r="122" spans="1:8">
      <c r="A122" s="7">
        <v>216058</v>
      </c>
      <c r="B122" s="8" t="s">
        <v>41</v>
      </c>
      <c r="C122" s="26">
        <v>243325.49</v>
      </c>
      <c r="D122" s="27">
        <v>0</v>
      </c>
      <c r="E122" s="27">
        <f t="shared" si="16"/>
        <v>75430.901899999997</v>
      </c>
      <c r="F122" s="27">
        <v>0</v>
      </c>
      <c r="G122" s="27">
        <f>6262-190</f>
        <v>6072</v>
      </c>
      <c r="H122" s="27">
        <f t="shared" si="17"/>
        <v>324828.39189999999</v>
      </c>
    </row>
    <row r="123" spans="1:8">
      <c r="A123" s="7">
        <v>216061</v>
      </c>
      <c r="B123" s="8" t="s">
        <v>93</v>
      </c>
      <c r="C123" s="26">
        <v>0</v>
      </c>
      <c r="D123" s="27">
        <v>0</v>
      </c>
      <c r="E123" s="27">
        <f t="shared" si="16"/>
        <v>0</v>
      </c>
      <c r="F123" s="27">
        <v>0</v>
      </c>
      <c r="G123" s="27">
        <v>245</v>
      </c>
      <c r="H123" s="27">
        <f t="shared" si="17"/>
        <v>245</v>
      </c>
    </row>
    <row r="124" spans="1:8">
      <c r="A124" s="7">
        <v>216073</v>
      </c>
      <c r="B124" s="8" t="s">
        <v>42</v>
      </c>
      <c r="C124" s="26">
        <v>85289.5</v>
      </c>
      <c r="D124" s="27">
        <v>0</v>
      </c>
      <c r="E124" s="27">
        <f t="shared" si="16"/>
        <v>26439.744999999999</v>
      </c>
      <c r="F124" s="27">
        <v>0</v>
      </c>
      <c r="G124" s="27">
        <f>1573-21</f>
        <v>1552</v>
      </c>
      <c r="H124" s="27">
        <f t="shared" si="17"/>
        <v>113281.245</v>
      </c>
    </row>
    <row r="125" spans="1:8">
      <c r="A125" s="7">
        <v>216078</v>
      </c>
      <c r="B125" s="8" t="s">
        <v>71</v>
      </c>
      <c r="C125" s="26">
        <v>0</v>
      </c>
      <c r="D125" s="27">
        <v>0</v>
      </c>
      <c r="E125" s="27">
        <f>SUM(C125:D125)*0.31</f>
        <v>0</v>
      </c>
      <c r="F125" s="27">
        <v>0</v>
      </c>
      <c r="G125" s="27">
        <v>0</v>
      </c>
      <c r="H125" s="27">
        <f>SUM(C125:G125)</f>
        <v>0</v>
      </c>
    </row>
    <row r="126" spans="1:8">
      <c r="A126" s="7" t="s">
        <v>348</v>
      </c>
      <c r="C126" s="21"/>
      <c r="D126" s="22"/>
      <c r="E126" s="22" t="s">
        <v>297</v>
      </c>
      <c r="F126" s="22"/>
      <c r="G126" s="22"/>
      <c r="H126" s="22"/>
    </row>
    <row r="127" spans="1:8">
      <c r="B127" s="8" t="s">
        <v>324</v>
      </c>
      <c r="C127" s="24">
        <f t="shared" ref="C127:H127" si="18">SUM(C103:C126)</f>
        <v>3508858.5</v>
      </c>
      <c r="D127" s="24">
        <f t="shared" si="18"/>
        <v>234501.5</v>
      </c>
      <c r="E127" s="24">
        <f t="shared" si="18"/>
        <v>1160441.5999999999</v>
      </c>
      <c r="F127" s="24">
        <f t="shared" si="18"/>
        <v>35000</v>
      </c>
      <c r="G127" s="24">
        <f>SUM(G103:G126)</f>
        <v>178919.49</v>
      </c>
      <c r="H127" s="24">
        <f t="shared" si="18"/>
        <v>5117721.09</v>
      </c>
    </row>
    <row r="128" spans="1:8">
      <c r="A128" s="7" t="s">
        <v>348</v>
      </c>
      <c r="C128" s="21"/>
      <c r="D128" s="22"/>
      <c r="E128" s="22"/>
      <c r="F128" s="22"/>
      <c r="G128" s="29"/>
      <c r="H128" s="22"/>
    </row>
    <row r="129" spans="1:8">
      <c r="A129" s="5"/>
      <c r="B129" s="19" t="s">
        <v>312</v>
      </c>
      <c r="C129" s="21"/>
      <c r="D129" s="22"/>
      <c r="E129" s="22"/>
      <c r="F129" s="22"/>
      <c r="G129" s="29"/>
      <c r="H129" s="22"/>
    </row>
    <row r="130" spans="1:8">
      <c r="A130" s="7">
        <v>210040</v>
      </c>
      <c r="B130" s="8" t="s">
        <v>199</v>
      </c>
      <c r="C130" s="22">
        <v>147557.5</v>
      </c>
      <c r="D130" s="22">
        <v>32244</v>
      </c>
      <c r="E130" s="22">
        <f t="shared" ref="E130:E176" si="19">SUM(C130:D130)*0.31</f>
        <v>55738.464999999997</v>
      </c>
      <c r="F130" s="22">
        <v>0</v>
      </c>
      <c r="G130" s="29">
        <v>9926</v>
      </c>
      <c r="H130" s="22">
        <f t="shared" ref="H130:H176" si="20">SUM(C130:G130)</f>
        <v>245465.965</v>
      </c>
    </row>
    <row r="131" spans="1:8">
      <c r="A131" s="7">
        <v>210043</v>
      </c>
      <c r="B131" s="8" t="s">
        <v>200</v>
      </c>
      <c r="C131" s="22">
        <v>50656</v>
      </c>
      <c r="D131" s="22">
        <v>0</v>
      </c>
      <c r="E131" s="22">
        <f t="shared" si="19"/>
        <v>15703.36</v>
      </c>
      <c r="F131" s="22">
        <v>0</v>
      </c>
      <c r="G131" s="29">
        <v>0</v>
      </c>
      <c r="H131" s="22">
        <f t="shared" si="20"/>
        <v>66359.360000000001</v>
      </c>
    </row>
    <row r="132" spans="1:8">
      <c r="A132" s="7">
        <v>210109</v>
      </c>
      <c r="B132" s="8" t="s">
        <v>358</v>
      </c>
      <c r="C132" s="21">
        <v>733330.51</v>
      </c>
      <c r="D132" s="22">
        <v>29583.29</v>
      </c>
      <c r="E132" s="22">
        <f t="shared" si="19"/>
        <v>236503.27800000002</v>
      </c>
      <c r="F132" s="22">
        <v>0</v>
      </c>
      <c r="G132" s="29">
        <f>13030-511</f>
        <v>12519</v>
      </c>
      <c r="H132" s="22">
        <f t="shared" si="20"/>
        <v>1011936.0780000001</v>
      </c>
    </row>
    <row r="133" spans="1:8">
      <c r="A133" s="7">
        <v>210203</v>
      </c>
      <c r="B133" s="8" t="s">
        <v>359</v>
      </c>
      <c r="C133" s="21">
        <v>349113.5</v>
      </c>
      <c r="D133" s="22">
        <v>14544.16</v>
      </c>
      <c r="E133" s="22">
        <f t="shared" si="19"/>
        <v>112733.8746</v>
      </c>
      <c r="F133" s="22">
        <v>0</v>
      </c>
      <c r="G133" s="29">
        <v>17206</v>
      </c>
      <c r="H133" s="22">
        <f t="shared" si="20"/>
        <v>493597.53459999996</v>
      </c>
    </row>
    <row r="134" spans="1:8">
      <c r="A134" s="7">
        <v>210204</v>
      </c>
      <c r="B134" s="8" t="s">
        <v>201</v>
      </c>
      <c r="C134" s="21">
        <v>12138</v>
      </c>
      <c r="D134" s="22">
        <v>0</v>
      </c>
      <c r="E134" s="22">
        <f t="shared" si="19"/>
        <v>3762.78</v>
      </c>
      <c r="F134" s="22">
        <v>0</v>
      </c>
      <c r="G134" s="29">
        <v>919</v>
      </c>
      <c r="H134" s="22">
        <f t="shared" si="20"/>
        <v>16819.78</v>
      </c>
    </row>
    <row r="135" spans="1:8">
      <c r="A135" s="7">
        <v>210205</v>
      </c>
      <c r="B135" s="8" t="s">
        <v>360</v>
      </c>
      <c r="C135" s="21">
        <v>565224</v>
      </c>
      <c r="D135" s="22">
        <v>45607.360000000001</v>
      </c>
      <c r="E135" s="22">
        <f t="shared" si="19"/>
        <v>189357.72159999999</v>
      </c>
      <c r="F135" s="22">
        <v>0</v>
      </c>
      <c r="G135" s="29">
        <v>19887</v>
      </c>
      <c r="H135" s="22">
        <f t="shared" si="20"/>
        <v>820076.08159999992</v>
      </c>
    </row>
    <row r="136" spans="1:8">
      <c r="A136" s="7">
        <v>210207</v>
      </c>
      <c r="B136" s="8" t="s">
        <v>202</v>
      </c>
      <c r="C136" s="21">
        <v>0</v>
      </c>
      <c r="D136" s="22">
        <v>0</v>
      </c>
      <c r="E136" s="22">
        <f t="shared" si="19"/>
        <v>0</v>
      </c>
      <c r="F136" s="22">
        <v>0</v>
      </c>
      <c r="G136" s="29">
        <v>6096</v>
      </c>
      <c r="H136" s="22">
        <f t="shared" si="20"/>
        <v>6096</v>
      </c>
    </row>
    <row r="137" spans="1:8">
      <c r="A137" s="7">
        <v>210209</v>
      </c>
      <c r="B137" s="8" t="s">
        <v>203</v>
      </c>
      <c r="C137" s="21">
        <v>0</v>
      </c>
      <c r="D137" s="22">
        <v>0</v>
      </c>
      <c r="E137" s="22">
        <f t="shared" si="19"/>
        <v>0</v>
      </c>
      <c r="F137" s="22">
        <v>0</v>
      </c>
      <c r="G137" s="29">
        <v>12000</v>
      </c>
      <c r="H137" s="22">
        <f t="shared" si="20"/>
        <v>12000</v>
      </c>
    </row>
    <row r="138" spans="1:8">
      <c r="A138" s="7">
        <v>210220</v>
      </c>
      <c r="B138" s="8" t="s">
        <v>204</v>
      </c>
      <c r="C138" s="21">
        <v>184769</v>
      </c>
      <c r="D138" s="22">
        <v>0</v>
      </c>
      <c r="E138" s="22">
        <f t="shared" si="19"/>
        <v>57278.39</v>
      </c>
      <c r="F138" s="22">
        <v>58000</v>
      </c>
      <c r="G138" s="29">
        <v>14208</v>
      </c>
      <c r="H138" s="22">
        <f t="shared" si="20"/>
        <v>314255.39</v>
      </c>
    </row>
    <row r="139" spans="1:8">
      <c r="A139" s="7">
        <v>210509</v>
      </c>
      <c r="B139" s="8" t="s">
        <v>361</v>
      </c>
      <c r="C139" s="21">
        <v>1218503</v>
      </c>
      <c r="D139" s="22">
        <v>33944.980000000003</v>
      </c>
      <c r="E139" s="22">
        <f t="shared" si="19"/>
        <v>388258.8738</v>
      </c>
      <c r="F139" s="22">
        <v>0</v>
      </c>
      <c r="G139" s="29">
        <f>17282+861</f>
        <v>18143</v>
      </c>
      <c r="H139" s="22">
        <f t="shared" si="20"/>
        <v>1658849.8537999999</v>
      </c>
    </row>
    <row r="140" spans="1:8">
      <c r="A140" s="7">
        <v>210511</v>
      </c>
      <c r="B140" s="8" t="s">
        <v>205</v>
      </c>
      <c r="C140" s="21">
        <v>453479</v>
      </c>
      <c r="D140" s="22">
        <v>15947</v>
      </c>
      <c r="E140" s="22">
        <f t="shared" si="19"/>
        <v>145522.06</v>
      </c>
      <c r="F140" s="22">
        <v>0</v>
      </c>
      <c r="G140" s="29">
        <f>5327+500</f>
        <v>5827</v>
      </c>
      <c r="H140" s="22">
        <f t="shared" si="20"/>
        <v>620775.06000000006</v>
      </c>
    </row>
    <row r="141" spans="1:8">
      <c r="A141" s="7">
        <v>210513</v>
      </c>
      <c r="B141" s="8" t="s">
        <v>362</v>
      </c>
      <c r="C141" s="21">
        <v>81344</v>
      </c>
      <c r="D141" s="22">
        <v>7508.89</v>
      </c>
      <c r="E141" s="22">
        <f t="shared" si="19"/>
        <v>27544.3959</v>
      </c>
      <c r="F141" s="22">
        <v>0</v>
      </c>
      <c r="G141" s="29">
        <f>1081-6</f>
        <v>1075</v>
      </c>
      <c r="H141" s="22">
        <f t="shared" si="20"/>
        <v>117472.2859</v>
      </c>
    </row>
    <row r="142" spans="1:8">
      <c r="A142" s="7">
        <v>210515</v>
      </c>
      <c r="B142" s="8" t="s">
        <v>363</v>
      </c>
      <c r="C142" s="21">
        <v>682922</v>
      </c>
      <c r="D142" s="22">
        <v>12676.61</v>
      </c>
      <c r="E142" s="22">
        <f t="shared" si="19"/>
        <v>215635.56909999999</v>
      </c>
      <c r="F142" s="22">
        <v>0</v>
      </c>
      <c r="G142" s="29">
        <f>9252-175</f>
        <v>9077</v>
      </c>
      <c r="H142" s="22">
        <f t="shared" si="20"/>
        <v>920311.17909999995</v>
      </c>
    </row>
    <row r="143" spans="1:8">
      <c r="A143" s="7">
        <v>210516</v>
      </c>
      <c r="B143" s="8" t="s">
        <v>364</v>
      </c>
      <c r="C143" s="21">
        <v>206107</v>
      </c>
      <c r="D143" s="22">
        <v>2542.75</v>
      </c>
      <c r="E143" s="22">
        <f t="shared" si="19"/>
        <v>64681.422500000001</v>
      </c>
      <c r="F143" s="22">
        <v>0</v>
      </c>
      <c r="G143" s="29">
        <f>2424-97</f>
        <v>2327</v>
      </c>
      <c r="H143" s="22">
        <f t="shared" si="20"/>
        <v>275658.17249999999</v>
      </c>
    </row>
    <row r="144" spans="1:8">
      <c r="A144" s="7">
        <v>210525</v>
      </c>
      <c r="B144" s="8" t="s">
        <v>206</v>
      </c>
      <c r="C144" s="21">
        <v>448523</v>
      </c>
      <c r="D144" s="22">
        <v>13156.46</v>
      </c>
      <c r="E144" s="22">
        <f t="shared" si="19"/>
        <v>143120.63260000001</v>
      </c>
      <c r="F144" s="22">
        <v>0</v>
      </c>
      <c r="G144" s="29">
        <f>5753-111</f>
        <v>5642</v>
      </c>
      <c r="H144" s="22">
        <f t="shared" si="20"/>
        <v>610442.09260000009</v>
      </c>
    </row>
    <row r="145" spans="1:8">
      <c r="A145" s="7">
        <v>210528</v>
      </c>
      <c r="B145" s="8" t="s">
        <v>207</v>
      </c>
      <c r="C145" s="21">
        <v>41095</v>
      </c>
      <c r="D145" s="22">
        <v>0</v>
      </c>
      <c r="E145" s="22">
        <f t="shared" si="19"/>
        <v>12739.45</v>
      </c>
      <c r="F145" s="22">
        <v>0</v>
      </c>
      <c r="G145" s="29">
        <v>10000</v>
      </c>
      <c r="H145" s="22">
        <f t="shared" si="20"/>
        <v>63834.45</v>
      </c>
    </row>
    <row r="146" spans="1:8">
      <c r="A146" s="7">
        <v>210529</v>
      </c>
      <c r="B146" s="8" t="s">
        <v>208</v>
      </c>
      <c r="C146" s="21">
        <v>46000</v>
      </c>
      <c r="D146" s="22">
        <v>0</v>
      </c>
      <c r="E146" s="22">
        <f t="shared" si="19"/>
        <v>14260</v>
      </c>
      <c r="F146" s="22">
        <v>0</v>
      </c>
      <c r="G146" s="29">
        <v>1046</v>
      </c>
      <c r="H146" s="22">
        <f t="shared" si="20"/>
        <v>61306</v>
      </c>
    </row>
    <row r="147" spans="1:8">
      <c r="A147" s="7">
        <v>210530</v>
      </c>
      <c r="B147" s="8" t="s">
        <v>209</v>
      </c>
      <c r="C147" s="21">
        <v>295246</v>
      </c>
      <c r="D147" s="22">
        <v>0</v>
      </c>
      <c r="E147" s="22">
        <f t="shared" si="19"/>
        <v>91526.26</v>
      </c>
      <c r="F147" s="22">
        <v>0</v>
      </c>
      <c r="G147" s="22">
        <f>2987-59</f>
        <v>2928</v>
      </c>
      <c r="H147" s="22">
        <f t="shared" si="20"/>
        <v>389700.26</v>
      </c>
    </row>
    <row r="148" spans="1:8">
      <c r="A148" s="7">
        <v>210531</v>
      </c>
      <c r="B148" s="8" t="s">
        <v>365</v>
      </c>
      <c r="C148" s="21">
        <v>424254</v>
      </c>
      <c r="D148" s="22">
        <v>19876.490000000002</v>
      </c>
      <c r="E148" s="22">
        <f t="shared" si="19"/>
        <v>137680.45189999999</v>
      </c>
      <c r="F148" s="22">
        <v>0</v>
      </c>
      <c r="G148" s="22">
        <f>7120+85</f>
        <v>7205</v>
      </c>
      <c r="H148" s="22">
        <f t="shared" si="20"/>
        <v>589015.94189999998</v>
      </c>
    </row>
    <row r="149" spans="1:8">
      <c r="A149" s="7">
        <v>210532</v>
      </c>
      <c r="B149" s="8" t="s">
        <v>210</v>
      </c>
      <c r="C149" s="21">
        <v>370925</v>
      </c>
      <c r="D149" s="22">
        <v>10118.94</v>
      </c>
      <c r="E149" s="22">
        <f t="shared" si="19"/>
        <v>118123.6214</v>
      </c>
      <c r="F149" s="22">
        <v>0</v>
      </c>
      <c r="G149" s="22">
        <f>6721-170</f>
        <v>6551</v>
      </c>
      <c r="H149" s="22">
        <f t="shared" si="20"/>
        <v>505718.56140000001</v>
      </c>
    </row>
    <row r="150" spans="1:8">
      <c r="A150" s="7">
        <v>210533</v>
      </c>
      <c r="B150" s="8" t="s">
        <v>211</v>
      </c>
      <c r="C150" s="21">
        <v>546234</v>
      </c>
      <c r="D150" s="22">
        <v>17106.77</v>
      </c>
      <c r="E150" s="22">
        <f t="shared" si="19"/>
        <v>174635.63870000001</v>
      </c>
      <c r="F150" s="22">
        <v>0</v>
      </c>
      <c r="G150" s="22">
        <f>9690-503</f>
        <v>9187</v>
      </c>
      <c r="H150" s="22">
        <f t="shared" si="20"/>
        <v>747163.40870000003</v>
      </c>
    </row>
    <row r="151" spans="1:8">
      <c r="A151" s="7">
        <v>210534</v>
      </c>
      <c r="B151" s="8" t="s">
        <v>366</v>
      </c>
      <c r="C151" s="21">
        <v>346338</v>
      </c>
      <c r="D151" s="22">
        <v>64629.77</v>
      </c>
      <c r="E151" s="22">
        <f t="shared" si="19"/>
        <v>127400.00870000001</v>
      </c>
      <c r="F151" s="22">
        <v>0</v>
      </c>
      <c r="G151" s="29">
        <f>9181-560</f>
        <v>8621</v>
      </c>
      <c r="H151" s="22">
        <f t="shared" si="20"/>
        <v>546988.77870000002</v>
      </c>
    </row>
    <row r="152" spans="1:8">
      <c r="A152" s="7">
        <v>212001</v>
      </c>
      <c r="B152" s="8" t="s">
        <v>23</v>
      </c>
      <c r="C152" s="21">
        <v>0</v>
      </c>
      <c r="D152" s="22">
        <v>0</v>
      </c>
      <c r="E152" s="22">
        <f t="shared" si="19"/>
        <v>0</v>
      </c>
      <c r="F152" s="22">
        <v>0</v>
      </c>
      <c r="G152" s="29">
        <v>6095</v>
      </c>
      <c r="H152" s="22">
        <f t="shared" si="20"/>
        <v>6095</v>
      </c>
    </row>
    <row r="153" spans="1:8">
      <c r="A153" s="7">
        <v>212007</v>
      </c>
      <c r="B153" s="8" t="s">
        <v>212</v>
      </c>
      <c r="C153" s="21">
        <v>641801</v>
      </c>
      <c r="D153" s="22">
        <v>57573.08</v>
      </c>
      <c r="E153" s="22">
        <f t="shared" si="19"/>
        <v>216805.96479999999</v>
      </c>
      <c r="F153" s="22">
        <v>0</v>
      </c>
      <c r="G153" s="29">
        <f>22752+800</f>
        <v>23552</v>
      </c>
      <c r="H153" s="22">
        <f t="shared" si="20"/>
        <v>939732.04479999992</v>
      </c>
    </row>
    <row r="154" spans="1:8">
      <c r="A154" s="7">
        <v>215019</v>
      </c>
      <c r="B154" s="8" t="s">
        <v>213</v>
      </c>
      <c r="C154" s="21">
        <v>166568.51</v>
      </c>
      <c r="D154" s="22">
        <v>6578.23</v>
      </c>
      <c r="E154" s="22">
        <f t="shared" si="19"/>
        <v>53675.489400000006</v>
      </c>
      <c r="F154" s="22">
        <v>0</v>
      </c>
      <c r="G154" s="29">
        <f>2477-144</f>
        <v>2333</v>
      </c>
      <c r="H154" s="22">
        <f t="shared" si="20"/>
        <v>229155.22940000001</v>
      </c>
    </row>
    <row r="155" spans="1:8">
      <c r="A155" s="7">
        <v>216016</v>
      </c>
      <c r="B155" s="8" t="s">
        <v>45</v>
      </c>
      <c r="C155" s="21">
        <v>0</v>
      </c>
      <c r="D155" s="22">
        <v>0</v>
      </c>
      <c r="E155" s="22">
        <f t="shared" si="19"/>
        <v>0</v>
      </c>
      <c r="F155" s="22">
        <v>0</v>
      </c>
      <c r="G155" s="29">
        <v>0</v>
      </c>
      <c r="H155" s="22">
        <f t="shared" si="20"/>
        <v>0</v>
      </c>
    </row>
    <row r="156" spans="1:8">
      <c r="A156" s="7">
        <v>216025</v>
      </c>
      <c r="B156" s="8" t="s">
        <v>214</v>
      </c>
      <c r="C156" s="21">
        <v>0</v>
      </c>
      <c r="D156" s="22">
        <v>0</v>
      </c>
      <c r="E156" s="22">
        <f t="shared" si="19"/>
        <v>0</v>
      </c>
      <c r="F156" s="22">
        <v>0</v>
      </c>
      <c r="G156" s="29">
        <v>13371</v>
      </c>
      <c r="H156" s="22">
        <f t="shared" si="20"/>
        <v>13371</v>
      </c>
    </row>
    <row r="157" spans="1:8">
      <c r="A157" s="7">
        <v>216028</v>
      </c>
      <c r="B157" s="8" t="s">
        <v>367</v>
      </c>
      <c r="C157" s="21">
        <v>0</v>
      </c>
      <c r="D157" s="22">
        <v>0</v>
      </c>
      <c r="E157" s="22">
        <f t="shared" si="19"/>
        <v>0</v>
      </c>
      <c r="F157" s="22">
        <v>0</v>
      </c>
      <c r="G157" s="29">
        <v>13498</v>
      </c>
      <c r="H157" s="22">
        <f t="shared" si="20"/>
        <v>13498</v>
      </c>
    </row>
    <row r="158" spans="1:8">
      <c r="A158" s="7">
        <v>216040</v>
      </c>
      <c r="B158" s="8" t="s">
        <v>215</v>
      </c>
      <c r="C158" s="21">
        <v>216500</v>
      </c>
      <c r="D158" s="22">
        <v>42992</v>
      </c>
      <c r="E158" s="22">
        <f t="shared" si="19"/>
        <v>80442.52</v>
      </c>
      <c r="F158" s="22">
        <v>0</v>
      </c>
      <c r="G158" s="29">
        <v>7818</v>
      </c>
      <c r="H158" s="22">
        <f t="shared" si="20"/>
        <v>347752.52</v>
      </c>
    </row>
    <row r="159" spans="1:8">
      <c r="A159" s="7">
        <v>216059</v>
      </c>
      <c r="B159" s="8" t="s">
        <v>368</v>
      </c>
      <c r="C159" s="21">
        <v>37000.01</v>
      </c>
      <c r="D159" s="21">
        <v>12676.61</v>
      </c>
      <c r="E159" s="22">
        <f t="shared" si="19"/>
        <v>15399.752200000001</v>
      </c>
      <c r="F159" s="22">
        <v>0</v>
      </c>
      <c r="G159" s="29">
        <v>0</v>
      </c>
      <c r="H159" s="22">
        <f t="shared" si="20"/>
        <v>65076.372200000005</v>
      </c>
    </row>
    <row r="160" spans="1:8">
      <c r="A160" s="7">
        <v>219014</v>
      </c>
      <c r="B160" s="8" t="s">
        <v>24</v>
      </c>
      <c r="C160" s="21">
        <v>94022.49</v>
      </c>
      <c r="D160" s="22">
        <v>0</v>
      </c>
      <c r="E160" s="22">
        <f t="shared" si="19"/>
        <v>29146.9719</v>
      </c>
      <c r="F160" s="22">
        <v>0</v>
      </c>
      <c r="G160" s="22">
        <f>1025+172</f>
        <v>1197</v>
      </c>
      <c r="H160" s="22">
        <f t="shared" si="20"/>
        <v>124366.46190000001</v>
      </c>
    </row>
    <row r="161" spans="1:8">
      <c r="A161" s="7">
        <v>216041</v>
      </c>
      <c r="B161" s="8" t="s">
        <v>25</v>
      </c>
      <c r="C161" s="26">
        <v>0</v>
      </c>
      <c r="D161" s="27">
        <v>0</v>
      </c>
      <c r="E161" s="27">
        <f t="shared" si="19"/>
        <v>0</v>
      </c>
      <c r="F161" s="27">
        <v>0</v>
      </c>
      <c r="G161" s="27">
        <v>59</v>
      </c>
      <c r="H161" s="27">
        <f t="shared" si="20"/>
        <v>59</v>
      </c>
    </row>
    <row r="162" spans="1:8">
      <c r="A162" s="7">
        <v>216042</v>
      </c>
      <c r="B162" s="8" t="s">
        <v>216</v>
      </c>
      <c r="C162" s="26">
        <v>0</v>
      </c>
      <c r="D162" s="27">
        <v>0</v>
      </c>
      <c r="E162" s="27">
        <f t="shared" si="19"/>
        <v>0</v>
      </c>
      <c r="F162" s="27">
        <v>0</v>
      </c>
      <c r="G162" s="27">
        <f>29-15</f>
        <v>14</v>
      </c>
      <c r="H162" s="27">
        <f t="shared" si="20"/>
        <v>14</v>
      </c>
    </row>
    <row r="163" spans="1:8">
      <c r="A163" s="7">
        <v>216044</v>
      </c>
      <c r="B163" s="8" t="s">
        <v>217</v>
      </c>
      <c r="C163" s="26">
        <v>0</v>
      </c>
      <c r="D163" s="27">
        <v>0</v>
      </c>
      <c r="E163" s="27">
        <f t="shared" si="19"/>
        <v>0</v>
      </c>
      <c r="F163" s="27">
        <v>0</v>
      </c>
      <c r="G163" s="27">
        <v>0</v>
      </c>
      <c r="H163" s="27">
        <f t="shared" si="20"/>
        <v>0</v>
      </c>
    </row>
    <row r="164" spans="1:8">
      <c r="A164" s="7">
        <v>216045</v>
      </c>
      <c r="B164" s="8" t="s">
        <v>218</v>
      </c>
      <c r="C164" s="26">
        <v>0</v>
      </c>
      <c r="D164" s="27">
        <v>0</v>
      </c>
      <c r="E164" s="27">
        <f t="shared" si="19"/>
        <v>0</v>
      </c>
      <c r="F164" s="27">
        <v>0</v>
      </c>
      <c r="G164" s="27">
        <v>0</v>
      </c>
      <c r="H164" s="27">
        <f t="shared" si="20"/>
        <v>0</v>
      </c>
    </row>
    <row r="165" spans="1:8">
      <c r="A165" s="7">
        <v>216051</v>
      </c>
      <c r="B165" s="8" t="s">
        <v>72</v>
      </c>
      <c r="C165" s="26">
        <v>0</v>
      </c>
      <c r="D165" s="27">
        <v>0</v>
      </c>
      <c r="E165" s="27">
        <f t="shared" si="19"/>
        <v>0</v>
      </c>
      <c r="F165" s="27">
        <v>0</v>
      </c>
      <c r="G165" s="27">
        <v>59</v>
      </c>
      <c r="H165" s="27">
        <f t="shared" si="20"/>
        <v>59</v>
      </c>
    </row>
    <row r="166" spans="1:8">
      <c r="A166" s="7">
        <v>216060</v>
      </c>
      <c r="B166" s="8" t="s">
        <v>26</v>
      </c>
      <c r="C166" s="26">
        <v>110068.49</v>
      </c>
      <c r="D166" s="27">
        <v>0</v>
      </c>
      <c r="E166" s="27">
        <f t="shared" si="19"/>
        <v>34121.231899999999</v>
      </c>
      <c r="F166" s="27">
        <v>0</v>
      </c>
      <c r="G166" s="27">
        <f>2867+32</f>
        <v>2899</v>
      </c>
      <c r="H166" s="27">
        <f t="shared" si="20"/>
        <v>147088.7219</v>
      </c>
    </row>
    <row r="167" spans="1:8">
      <c r="A167" s="7">
        <v>216062</v>
      </c>
      <c r="B167" s="8" t="s">
        <v>27</v>
      </c>
      <c r="C167" s="26">
        <v>4400</v>
      </c>
      <c r="D167" s="27">
        <v>0</v>
      </c>
      <c r="E167" s="27">
        <f t="shared" si="19"/>
        <v>1364</v>
      </c>
      <c r="F167" s="27">
        <v>0</v>
      </c>
      <c r="G167" s="27">
        <f>378+17</f>
        <v>395</v>
      </c>
      <c r="H167" s="27">
        <f t="shared" si="20"/>
        <v>6159</v>
      </c>
    </row>
    <row r="168" spans="1:8">
      <c r="A168" s="7">
        <v>216063</v>
      </c>
      <c r="B168" s="8" t="s">
        <v>73</v>
      </c>
      <c r="C168" s="26">
        <v>0</v>
      </c>
      <c r="D168" s="27">
        <v>0</v>
      </c>
      <c r="E168" s="27">
        <f t="shared" si="19"/>
        <v>0</v>
      </c>
      <c r="F168" s="27">
        <v>0</v>
      </c>
      <c r="G168" s="27">
        <v>0</v>
      </c>
      <c r="H168" s="27">
        <f t="shared" si="20"/>
        <v>0</v>
      </c>
    </row>
    <row r="169" spans="1:8">
      <c r="A169" s="7">
        <v>216064</v>
      </c>
      <c r="B169" s="8" t="s">
        <v>74</v>
      </c>
      <c r="C169" s="26">
        <v>0</v>
      </c>
      <c r="D169" s="27">
        <v>0</v>
      </c>
      <c r="E169" s="27">
        <f t="shared" si="19"/>
        <v>0</v>
      </c>
      <c r="F169" s="27">
        <v>0</v>
      </c>
      <c r="G169" s="27">
        <v>37</v>
      </c>
      <c r="H169" s="27">
        <f t="shared" si="20"/>
        <v>37</v>
      </c>
    </row>
    <row r="170" spans="1:8">
      <c r="A170" s="7">
        <v>216065</v>
      </c>
      <c r="B170" s="8" t="s">
        <v>75</v>
      </c>
      <c r="C170" s="26">
        <v>0</v>
      </c>
      <c r="D170" s="27">
        <v>0</v>
      </c>
      <c r="E170" s="27">
        <f t="shared" si="19"/>
        <v>0</v>
      </c>
      <c r="F170" s="27">
        <v>0</v>
      </c>
      <c r="G170" s="27">
        <v>0</v>
      </c>
      <c r="H170" s="27">
        <f t="shared" si="20"/>
        <v>0</v>
      </c>
    </row>
    <row r="171" spans="1:8">
      <c r="A171" s="7">
        <v>216066</v>
      </c>
      <c r="B171" s="8" t="s">
        <v>28</v>
      </c>
      <c r="C171" s="26">
        <v>73604.490000000005</v>
      </c>
      <c r="D171" s="27">
        <v>0</v>
      </c>
      <c r="E171" s="27">
        <f t="shared" si="19"/>
        <v>22817.391900000002</v>
      </c>
      <c r="F171" s="27">
        <v>0</v>
      </c>
      <c r="G171" s="27">
        <v>1435.49</v>
      </c>
      <c r="H171" s="27">
        <f t="shared" si="20"/>
        <v>97857.371900000013</v>
      </c>
    </row>
    <row r="172" spans="1:8">
      <c r="A172" s="7">
        <v>216067</v>
      </c>
      <c r="B172" s="8" t="s">
        <v>29</v>
      </c>
      <c r="C172" s="26">
        <v>3300</v>
      </c>
      <c r="D172" s="27">
        <v>0</v>
      </c>
      <c r="E172" s="27">
        <f t="shared" si="19"/>
        <v>1023</v>
      </c>
      <c r="F172" s="27">
        <v>0</v>
      </c>
      <c r="G172" s="27">
        <v>390.49</v>
      </c>
      <c r="H172" s="27">
        <f t="shared" si="20"/>
        <v>4713.49</v>
      </c>
    </row>
    <row r="173" spans="1:8">
      <c r="A173" s="7">
        <v>216068</v>
      </c>
      <c r="B173" s="8" t="s">
        <v>76</v>
      </c>
      <c r="C173" s="26">
        <v>0</v>
      </c>
      <c r="D173" s="27">
        <v>0</v>
      </c>
      <c r="E173" s="27">
        <f t="shared" si="19"/>
        <v>0</v>
      </c>
      <c r="F173" s="27">
        <v>0</v>
      </c>
      <c r="G173" s="27">
        <f>130-46</f>
        <v>84</v>
      </c>
      <c r="H173" s="27">
        <f>SUM(C173:G173)</f>
        <v>84</v>
      </c>
    </row>
    <row r="174" spans="1:8">
      <c r="A174" s="7">
        <v>216072</v>
      </c>
      <c r="B174" s="8" t="s">
        <v>77</v>
      </c>
      <c r="C174" s="26">
        <v>0</v>
      </c>
      <c r="D174" s="27">
        <v>0</v>
      </c>
      <c r="E174" s="27">
        <f t="shared" si="19"/>
        <v>0</v>
      </c>
      <c r="F174" s="27">
        <v>0</v>
      </c>
      <c r="G174" s="27">
        <v>0</v>
      </c>
      <c r="H174" s="27">
        <f t="shared" si="20"/>
        <v>0</v>
      </c>
    </row>
    <row r="175" spans="1:8">
      <c r="A175" s="7">
        <v>216079</v>
      </c>
      <c r="B175" s="8" t="s">
        <v>78</v>
      </c>
      <c r="C175" s="26">
        <v>0</v>
      </c>
      <c r="D175" s="27">
        <v>0</v>
      </c>
      <c r="E175" s="27">
        <f t="shared" si="19"/>
        <v>0</v>
      </c>
      <c r="F175" s="27">
        <v>0</v>
      </c>
      <c r="G175" s="27">
        <v>0</v>
      </c>
      <c r="H175" s="27">
        <f t="shared" si="20"/>
        <v>0</v>
      </c>
    </row>
    <row r="176" spans="1:8">
      <c r="A176" s="7">
        <v>216080</v>
      </c>
      <c r="B176" s="8" t="s">
        <v>79</v>
      </c>
      <c r="C176" s="26">
        <v>0</v>
      </c>
      <c r="D176" s="27">
        <v>0</v>
      </c>
      <c r="E176" s="27">
        <f t="shared" si="19"/>
        <v>0</v>
      </c>
      <c r="F176" s="27">
        <v>0</v>
      </c>
      <c r="G176" s="27">
        <v>270</v>
      </c>
      <c r="H176" s="27">
        <f t="shared" si="20"/>
        <v>270</v>
      </c>
    </row>
    <row r="177" spans="1:8">
      <c r="A177" s="7" t="s">
        <v>348</v>
      </c>
      <c r="C177" s="21"/>
      <c r="D177" s="22"/>
      <c r="E177" s="22"/>
      <c r="F177" s="22"/>
      <c r="G177" s="22"/>
      <c r="H177" s="22"/>
    </row>
    <row r="178" spans="1:8">
      <c r="B178" s="8" t="s">
        <v>325</v>
      </c>
      <c r="C178" s="24">
        <f t="shared" ref="C178:H178" si="21">SUM(C130:C177)</f>
        <v>8551023.5</v>
      </c>
      <c r="D178" s="24">
        <f t="shared" si="21"/>
        <v>439307.39</v>
      </c>
      <c r="E178" s="24">
        <f t="shared" si="21"/>
        <v>2787002.5759000001</v>
      </c>
      <c r="F178" s="24">
        <f t="shared" si="21"/>
        <v>58000</v>
      </c>
      <c r="G178" s="24">
        <f>SUM(G130:G177)</f>
        <v>253896.97999999998</v>
      </c>
      <c r="H178" s="24">
        <f t="shared" si="21"/>
        <v>12089230.445899997</v>
      </c>
    </row>
    <row r="179" spans="1:8">
      <c r="A179" s="7" t="s">
        <v>348</v>
      </c>
      <c r="C179" s="21"/>
      <c r="D179" s="22"/>
      <c r="E179" s="22"/>
      <c r="F179" s="22"/>
      <c r="G179" s="29"/>
      <c r="H179" s="22"/>
    </row>
    <row r="180" spans="1:8">
      <c r="A180" s="5"/>
      <c r="B180" s="19" t="s">
        <v>141</v>
      </c>
      <c r="C180" s="21"/>
      <c r="D180" s="22"/>
      <c r="E180" s="22"/>
      <c r="F180" s="22"/>
      <c r="G180" s="29"/>
      <c r="H180" s="22"/>
    </row>
    <row r="181" spans="1:8">
      <c r="A181" s="7">
        <v>210202</v>
      </c>
      <c r="B181" s="8" t="s">
        <v>192</v>
      </c>
      <c r="C181" s="21">
        <v>130000</v>
      </c>
      <c r="D181" s="21">
        <v>42992</v>
      </c>
      <c r="E181" s="21">
        <f t="shared" ref="E181:E189" si="22">SUM(C181:D181)*0.31</f>
        <v>53627.519999999997</v>
      </c>
      <c r="F181" s="22">
        <v>0</v>
      </c>
      <c r="G181" s="29">
        <v>2037</v>
      </c>
      <c r="H181" s="22">
        <f t="shared" ref="H181:H189" si="23">SUM(C181:G181)</f>
        <v>228656.52</v>
      </c>
    </row>
    <row r="182" spans="1:8">
      <c r="A182" s="7">
        <v>210215</v>
      </c>
      <c r="B182" s="8" t="s">
        <v>193</v>
      </c>
      <c r="C182" s="21">
        <v>79957</v>
      </c>
      <c r="D182" s="22">
        <v>0</v>
      </c>
      <c r="E182" s="22">
        <f t="shared" si="22"/>
        <v>24786.67</v>
      </c>
      <c r="F182" s="22">
        <v>43000</v>
      </c>
      <c r="G182" s="29">
        <v>7856</v>
      </c>
      <c r="H182" s="22">
        <f t="shared" si="23"/>
        <v>155599.66999999998</v>
      </c>
    </row>
    <row r="183" spans="1:8">
      <c r="A183" s="7">
        <v>210520</v>
      </c>
      <c r="B183" s="8" t="s">
        <v>369</v>
      </c>
      <c r="C183" s="21">
        <v>1145592</v>
      </c>
      <c r="D183" s="22">
        <v>39338</v>
      </c>
      <c r="E183" s="22">
        <f t="shared" si="22"/>
        <v>367328.3</v>
      </c>
      <c r="F183" s="22">
        <v>0</v>
      </c>
      <c r="G183" s="22">
        <v>34484</v>
      </c>
      <c r="H183" s="22">
        <f t="shared" si="23"/>
        <v>1586742.3</v>
      </c>
    </row>
    <row r="184" spans="1:8">
      <c r="A184" s="7">
        <v>210522</v>
      </c>
      <c r="B184" s="8" t="s">
        <v>194</v>
      </c>
      <c r="C184" s="21">
        <v>655209.5</v>
      </c>
      <c r="D184" s="22">
        <v>30369.99</v>
      </c>
      <c r="E184" s="22">
        <f t="shared" si="22"/>
        <v>212529.64189999999</v>
      </c>
      <c r="F184" s="22">
        <v>0</v>
      </c>
      <c r="G184" s="22">
        <v>15920</v>
      </c>
      <c r="H184" s="22">
        <f t="shared" si="23"/>
        <v>914029.13189999992</v>
      </c>
    </row>
    <row r="185" spans="1:8">
      <c r="A185" s="7">
        <v>212006</v>
      </c>
      <c r="B185" s="8" t="s">
        <v>195</v>
      </c>
      <c r="C185" s="26">
        <v>0</v>
      </c>
      <c r="D185" s="27">
        <v>0</v>
      </c>
      <c r="E185" s="27">
        <f t="shared" si="22"/>
        <v>0</v>
      </c>
      <c r="F185" s="27">
        <v>0</v>
      </c>
      <c r="G185" s="27">
        <v>6790</v>
      </c>
      <c r="H185" s="27">
        <f t="shared" si="23"/>
        <v>6790</v>
      </c>
    </row>
    <row r="186" spans="1:8">
      <c r="A186" s="7">
        <v>212011</v>
      </c>
      <c r="B186" s="8" t="s">
        <v>196</v>
      </c>
      <c r="C186" s="26">
        <v>75306</v>
      </c>
      <c r="D186" s="27">
        <v>16045.48</v>
      </c>
      <c r="E186" s="27">
        <f t="shared" si="22"/>
        <v>28318.9588</v>
      </c>
      <c r="F186" s="27">
        <v>0</v>
      </c>
      <c r="G186" s="27">
        <v>236</v>
      </c>
      <c r="H186" s="27">
        <f t="shared" si="23"/>
        <v>119906.4388</v>
      </c>
    </row>
    <row r="187" spans="1:8">
      <c r="A187" s="7">
        <v>216018</v>
      </c>
      <c r="B187" s="8" t="s">
        <v>46</v>
      </c>
      <c r="C187" s="21">
        <v>0</v>
      </c>
      <c r="D187" s="22">
        <v>0</v>
      </c>
      <c r="E187" s="22">
        <f t="shared" si="22"/>
        <v>0</v>
      </c>
      <c r="F187" s="22">
        <v>0</v>
      </c>
      <c r="G187" s="22">
        <v>0</v>
      </c>
      <c r="H187" s="22">
        <f t="shared" si="23"/>
        <v>0</v>
      </c>
    </row>
    <row r="188" spans="1:8">
      <c r="A188" s="7">
        <v>216047</v>
      </c>
      <c r="B188" s="8" t="s">
        <v>197</v>
      </c>
      <c r="C188" s="26">
        <v>1417746</v>
      </c>
      <c r="D188" s="27">
        <v>80471.600000000006</v>
      </c>
      <c r="E188" s="27">
        <f t="shared" si="22"/>
        <v>464447.45600000001</v>
      </c>
      <c r="F188" s="27">
        <v>0</v>
      </c>
      <c r="G188" s="27">
        <f>33361-125</f>
        <v>33236</v>
      </c>
      <c r="H188" s="27">
        <f t="shared" si="23"/>
        <v>1995901.0560000001</v>
      </c>
    </row>
    <row r="189" spans="1:8">
      <c r="A189" s="7">
        <v>216094</v>
      </c>
      <c r="B189" s="8" t="s">
        <v>198</v>
      </c>
      <c r="C189" s="26">
        <v>0</v>
      </c>
      <c r="D189" s="27">
        <v>0</v>
      </c>
      <c r="E189" s="27">
        <f t="shared" si="22"/>
        <v>0</v>
      </c>
      <c r="F189" s="27">
        <v>0</v>
      </c>
      <c r="G189" s="27">
        <f>200-31</f>
        <v>169</v>
      </c>
      <c r="H189" s="27">
        <f t="shared" si="23"/>
        <v>169</v>
      </c>
    </row>
    <row r="190" spans="1:8">
      <c r="A190" s="7" t="s">
        <v>348</v>
      </c>
      <c r="C190" s="21"/>
      <c r="D190" s="22"/>
      <c r="E190" s="22" t="s">
        <v>297</v>
      </c>
      <c r="F190" s="22"/>
      <c r="G190" s="22"/>
      <c r="H190" s="22"/>
    </row>
    <row r="191" spans="1:8">
      <c r="B191" s="8" t="s">
        <v>142</v>
      </c>
      <c r="C191" s="24">
        <f>SUM(C181:C190)</f>
        <v>3503810.5</v>
      </c>
      <c r="D191" s="24">
        <f>SUM(D181:D190)</f>
        <v>209217.07</v>
      </c>
      <c r="E191" s="24">
        <f>SUM(E181:E190)</f>
        <v>1151038.5466999998</v>
      </c>
      <c r="F191" s="24">
        <f>SUM(F181:F190)</f>
        <v>43000</v>
      </c>
      <c r="G191" s="24">
        <f>SUM(G181:G190)</f>
        <v>100728</v>
      </c>
      <c r="H191" s="24">
        <f>SUM(C191:G191)</f>
        <v>5007794.1166999992</v>
      </c>
    </row>
    <row r="192" spans="1:8">
      <c r="A192" s="7" t="s">
        <v>348</v>
      </c>
      <c r="C192" s="31"/>
      <c r="D192" s="31"/>
      <c r="E192" s="31"/>
      <c r="F192" s="31"/>
      <c r="G192" s="32"/>
      <c r="H192" s="31"/>
    </row>
    <row r="193" spans="1:8">
      <c r="A193" s="5"/>
      <c r="B193" s="19" t="s">
        <v>313</v>
      </c>
      <c r="C193" s="21"/>
      <c r="D193" s="22"/>
      <c r="E193" s="22"/>
      <c r="F193" s="22"/>
      <c r="G193" s="29"/>
      <c r="H193" s="22"/>
    </row>
    <row r="194" spans="1:8">
      <c r="A194" s="7">
        <v>210201</v>
      </c>
      <c r="B194" s="8" t="s">
        <v>186</v>
      </c>
      <c r="C194" s="21">
        <v>131840</v>
      </c>
      <c r="D194" s="21">
        <f>42992+15000</f>
        <v>57992</v>
      </c>
      <c r="E194" s="21">
        <f t="shared" ref="E194:E210" si="24">SUM(C194:D194)*0.31</f>
        <v>58847.92</v>
      </c>
      <c r="F194" s="22">
        <v>0</v>
      </c>
      <c r="G194" s="29">
        <v>5635</v>
      </c>
      <c r="H194" s="22">
        <f t="shared" ref="H194:H210" si="25">SUM(C194:G194)</f>
        <v>254314.91999999998</v>
      </c>
    </row>
    <row r="195" spans="1:8">
      <c r="A195" s="7">
        <v>210230</v>
      </c>
      <c r="B195" s="8" t="s">
        <v>53</v>
      </c>
      <c r="C195" s="21">
        <v>100988.51</v>
      </c>
      <c r="D195" s="22">
        <v>0</v>
      </c>
      <c r="E195" s="22">
        <f t="shared" si="24"/>
        <v>31306.438099999999</v>
      </c>
      <c r="F195" s="22">
        <v>30000</v>
      </c>
      <c r="G195" s="29">
        <v>118124</v>
      </c>
      <c r="H195" s="22">
        <f t="shared" si="25"/>
        <v>280418.94809999998</v>
      </c>
    </row>
    <row r="196" spans="1:8">
      <c r="A196" s="7">
        <v>210480</v>
      </c>
      <c r="B196" s="8" t="s">
        <v>370</v>
      </c>
      <c r="C196" s="21">
        <v>476616.51</v>
      </c>
      <c r="D196" s="22">
        <v>91109.96</v>
      </c>
      <c r="E196" s="22">
        <f t="shared" si="24"/>
        <v>175995.20569999999</v>
      </c>
      <c r="F196" s="22">
        <v>0</v>
      </c>
      <c r="G196" s="22">
        <f>8105+386</f>
        <v>8491</v>
      </c>
      <c r="H196" s="22">
        <f t="shared" si="25"/>
        <v>752212.67570000002</v>
      </c>
    </row>
    <row r="197" spans="1:8">
      <c r="A197" s="7">
        <v>210502</v>
      </c>
      <c r="B197" s="8" t="s">
        <v>371</v>
      </c>
      <c r="C197" s="21">
        <v>352445.51</v>
      </c>
      <c r="D197" s="22">
        <v>32922.75</v>
      </c>
      <c r="E197" s="22">
        <f t="shared" si="24"/>
        <v>119464.1606</v>
      </c>
      <c r="F197" s="22">
        <v>0</v>
      </c>
      <c r="G197" s="22">
        <f>18041-1600</f>
        <v>16441</v>
      </c>
      <c r="H197" s="22">
        <f t="shared" si="25"/>
        <v>521273.42060000001</v>
      </c>
    </row>
    <row r="198" spans="1:8">
      <c r="A198" s="7">
        <v>210503</v>
      </c>
      <c r="B198" s="8" t="s">
        <v>372</v>
      </c>
      <c r="C198" s="21">
        <v>1137570</v>
      </c>
      <c r="D198" s="22">
        <v>125952.64</v>
      </c>
      <c r="E198" s="22">
        <f t="shared" si="24"/>
        <v>391692.01839999994</v>
      </c>
      <c r="F198" s="22">
        <v>0</v>
      </c>
      <c r="G198" s="22">
        <f>100225+2863</f>
        <v>103088</v>
      </c>
      <c r="H198" s="22">
        <f t="shared" si="25"/>
        <v>1758302.6583999998</v>
      </c>
    </row>
    <row r="199" spans="1:8">
      <c r="A199" s="7">
        <v>210505</v>
      </c>
      <c r="B199" s="8" t="s">
        <v>373</v>
      </c>
      <c r="C199" s="21">
        <v>607057.51</v>
      </c>
      <c r="D199" s="22">
        <v>81043</v>
      </c>
      <c r="E199" s="22">
        <f t="shared" si="24"/>
        <v>213311.1581</v>
      </c>
      <c r="F199" s="22">
        <v>0</v>
      </c>
      <c r="G199" s="22">
        <f>42492+925.51</f>
        <v>43417.51</v>
      </c>
      <c r="H199" s="22">
        <f>SUM(C199:G199)</f>
        <v>944829.17810000002</v>
      </c>
    </row>
    <row r="200" spans="1:8">
      <c r="A200" s="7">
        <v>210517</v>
      </c>
      <c r="B200" s="8" t="s">
        <v>187</v>
      </c>
      <c r="C200" s="21">
        <v>820692.97</v>
      </c>
      <c r="D200" s="22">
        <v>85149.36</v>
      </c>
      <c r="E200" s="22">
        <f t="shared" si="24"/>
        <v>280811.12229999999</v>
      </c>
      <c r="F200" s="22">
        <v>0</v>
      </c>
      <c r="G200" s="22">
        <v>17820</v>
      </c>
      <c r="H200" s="22">
        <f t="shared" si="25"/>
        <v>1204473.4523</v>
      </c>
    </row>
    <row r="201" spans="1:8">
      <c r="A201" s="7">
        <v>210519</v>
      </c>
      <c r="B201" s="8" t="s">
        <v>188</v>
      </c>
      <c r="C201" s="21">
        <v>1410970</v>
      </c>
      <c r="D201" s="22">
        <v>33954.17</v>
      </c>
      <c r="E201" s="22">
        <f t="shared" si="24"/>
        <v>447926.4927</v>
      </c>
      <c r="F201" s="22">
        <v>0</v>
      </c>
      <c r="G201" s="22">
        <f>21380+585.51</f>
        <v>21965.51</v>
      </c>
      <c r="H201" s="22">
        <f t="shared" si="25"/>
        <v>1914816.1727</v>
      </c>
    </row>
    <row r="202" spans="1:8">
      <c r="A202" s="7">
        <v>210523</v>
      </c>
      <c r="B202" s="8" t="s">
        <v>374</v>
      </c>
      <c r="C202" s="21">
        <v>526802</v>
      </c>
      <c r="D202" s="22">
        <v>32922.75</v>
      </c>
      <c r="E202" s="22">
        <f t="shared" si="24"/>
        <v>173514.67249999999</v>
      </c>
      <c r="F202" s="22">
        <v>0</v>
      </c>
      <c r="G202" s="22">
        <f>19236+759</f>
        <v>19995</v>
      </c>
      <c r="H202" s="22">
        <f t="shared" si="25"/>
        <v>753234.42249999999</v>
      </c>
    </row>
    <row r="203" spans="1:8">
      <c r="A203" s="7">
        <v>210527</v>
      </c>
      <c r="B203" s="8" t="s">
        <v>189</v>
      </c>
      <c r="C203" s="21">
        <v>0</v>
      </c>
      <c r="D203" s="22">
        <v>0</v>
      </c>
      <c r="E203" s="22">
        <f t="shared" si="24"/>
        <v>0</v>
      </c>
      <c r="F203" s="22">
        <v>0</v>
      </c>
      <c r="G203" s="29">
        <f>163+508</f>
        <v>671</v>
      </c>
      <c r="H203" s="22">
        <f t="shared" si="25"/>
        <v>671</v>
      </c>
    </row>
    <row r="204" spans="1:8">
      <c r="A204" s="7">
        <v>214016</v>
      </c>
      <c r="B204" s="8" t="s">
        <v>190</v>
      </c>
      <c r="C204" s="21">
        <v>0</v>
      </c>
      <c r="D204" s="22">
        <v>0</v>
      </c>
      <c r="E204" s="22">
        <f t="shared" si="24"/>
        <v>0</v>
      </c>
      <c r="F204" s="22">
        <v>0</v>
      </c>
      <c r="G204" s="29">
        <v>3356</v>
      </c>
      <c r="H204" s="22">
        <f t="shared" si="25"/>
        <v>3356</v>
      </c>
    </row>
    <row r="205" spans="1:8">
      <c r="A205" s="7">
        <v>216017</v>
      </c>
      <c r="B205" s="8" t="s">
        <v>47</v>
      </c>
      <c r="C205" s="21">
        <v>0</v>
      </c>
      <c r="D205" s="22">
        <v>0</v>
      </c>
      <c r="E205" s="22">
        <f t="shared" si="24"/>
        <v>0</v>
      </c>
      <c r="F205" s="22">
        <v>0</v>
      </c>
      <c r="G205" s="22">
        <v>0</v>
      </c>
      <c r="H205" s="22">
        <f t="shared" si="25"/>
        <v>0</v>
      </c>
    </row>
    <row r="206" spans="1:8">
      <c r="A206" s="7">
        <v>216050</v>
      </c>
      <c r="B206" s="8" t="s">
        <v>191</v>
      </c>
      <c r="C206" s="26">
        <v>0</v>
      </c>
      <c r="D206" s="27">
        <v>0</v>
      </c>
      <c r="E206" s="27">
        <f t="shared" si="24"/>
        <v>0</v>
      </c>
      <c r="F206" s="27">
        <v>0</v>
      </c>
      <c r="G206" s="27">
        <f>75+11</f>
        <v>86</v>
      </c>
      <c r="H206" s="27">
        <f t="shared" si="25"/>
        <v>86</v>
      </c>
    </row>
    <row r="207" spans="1:8">
      <c r="A207" s="7">
        <v>216069</v>
      </c>
      <c r="B207" s="8" t="s">
        <v>30</v>
      </c>
      <c r="C207" s="26">
        <v>0</v>
      </c>
      <c r="D207" s="27">
        <v>0</v>
      </c>
      <c r="E207" s="27">
        <f t="shared" si="24"/>
        <v>0</v>
      </c>
      <c r="F207" s="27">
        <v>0</v>
      </c>
      <c r="G207" s="27">
        <f>744-236</f>
        <v>508</v>
      </c>
      <c r="H207" s="27">
        <f t="shared" si="25"/>
        <v>508</v>
      </c>
    </row>
    <row r="208" spans="1:8">
      <c r="A208" s="7">
        <v>216071</v>
      </c>
      <c r="B208" s="8" t="s">
        <v>31</v>
      </c>
      <c r="C208" s="26">
        <v>270759</v>
      </c>
      <c r="D208" s="27">
        <v>0</v>
      </c>
      <c r="E208" s="27">
        <f t="shared" si="24"/>
        <v>83935.29</v>
      </c>
      <c r="F208" s="27">
        <v>0</v>
      </c>
      <c r="G208" s="27">
        <f>5060-682</f>
        <v>4378</v>
      </c>
      <c r="H208" s="27">
        <f t="shared" si="25"/>
        <v>359072.29</v>
      </c>
    </row>
    <row r="209" spans="1:8">
      <c r="A209" s="7">
        <v>216091</v>
      </c>
      <c r="B209" s="8" t="s">
        <v>32</v>
      </c>
      <c r="C209" s="26">
        <v>0</v>
      </c>
      <c r="D209" s="27">
        <v>0</v>
      </c>
      <c r="E209" s="27">
        <f t="shared" si="24"/>
        <v>0</v>
      </c>
      <c r="F209" s="27">
        <v>0</v>
      </c>
      <c r="G209" s="27">
        <f>92+24</f>
        <v>116</v>
      </c>
      <c r="H209" s="27">
        <f t="shared" si="25"/>
        <v>116</v>
      </c>
    </row>
    <row r="210" spans="1:8">
      <c r="A210" s="7">
        <v>216092</v>
      </c>
      <c r="B210" s="8" t="s">
        <v>33</v>
      </c>
      <c r="C210" s="26">
        <v>0</v>
      </c>
      <c r="D210" s="27">
        <v>0</v>
      </c>
      <c r="E210" s="27">
        <f t="shared" si="24"/>
        <v>0</v>
      </c>
      <c r="F210" s="27">
        <v>0</v>
      </c>
      <c r="G210" s="27">
        <f>722-221</f>
        <v>501</v>
      </c>
      <c r="H210" s="27">
        <f t="shared" si="25"/>
        <v>501</v>
      </c>
    </row>
    <row r="211" spans="1:8">
      <c r="A211" s="7" t="s">
        <v>348</v>
      </c>
      <c r="C211" s="21"/>
      <c r="D211" s="22"/>
      <c r="E211" s="22" t="s">
        <v>297</v>
      </c>
      <c r="F211" s="22"/>
      <c r="G211" s="22"/>
      <c r="H211" s="22"/>
    </row>
    <row r="212" spans="1:8">
      <c r="B212" s="8" t="s">
        <v>326</v>
      </c>
      <c r="C212" s="24">
        <f t="shared" ref="C212:H212" si="26">SUM(C194:C211)</f>
        <v>5835742.0099999998</v>
      </c>
      <c r="D212" s="24">
        <f t="shared" si="26"/>
        <v>541046.63</v>
      </c>
      <c r="E212" s="24">
        <f t="shared" si="26"/>
        <v>1976804.4783999999</v>
      </c>
      <c r="F212" s="24">
        <f t="shared" si="26"/>
        <v>30000</v>
      </c>
      <c r="G212" s="24">
        <f>SUM(G194:G211)</f>
        <v>364593.02</v>
      </c>
      <c r="H212" s="24">
        <f t="shared" si="26"/>
        <v>8748186.1383999996</v>
      </c>
    </row>
    <row r="213" spans="1:8">
      <c r="A213" s="7" t="s">
        <v>348</v>
      </c>
      <c r="C213" s="21"/>
      <c r="D213" s="22"/>
      <c r="E213" s="22"/>
      <c r="F213" s="29"/>
      <c r="G213" s="29"/>
      <c r="H213" s="22"/>
    </row>
    <row r="214" spans="1:8">
      <c r="B214" s="8" t="s">
        <v>327</v>
      </c>
      <c r="C214" s="24">
        <f t="shared" ref="C214:H214" si="27">+C72+C82+C100+C127+C178+C212+C191</f>
        <v>30755517.009999998</v>
      </c>
      <c r="D214" s="24">
        <f t="shared" si="27"/>
        <v>2573551.1799999997</v>
      </c>
      <c r="E214" s="24">
        <f t="shared" si="27"/>
        <v>10332011.138900001</v>
      </c>
      <c r="F214" s="24">
        <f t="shared" si="27"/>
        <v>181000</v>
      </c>
      <c r="G214" s="24">
        <f t="shared" si="27"/>
        <v>3935578.96</v>
      </c>
      <c r="H214" s="24">
        <f t="shared" si="27"/>
        <v>47777658.288899995</v>
      </c>
    </row>
    <row r="215" spans="1:8">
      <c r="A215" s="7" t="s">
        <v>348</v>
      </c>
      <c r="C215" s="32"/>
      <c r="D215" s="32"/>
      <c r="E215" s="32"/>
      <c r="F215" s="32"/>
      <c r="G215" s="29"/>
      <c r="H215" s="32"/>
    </row>
    <row r="216" spans="1:8">
      <c r="A216" s="5"/>
      <c r="B216" s="19" t="s">
        <v>318</v>
      </c>
      <c r="C216" s="30"/>
      <c r="D216" s="29"/>
      <c r="E216" s="29"/>
      <c r="F216" s="29"/>
      <c r="G216" s="29"/>
      <c r="H216" s="22"/>
    </row>
    <row r="217" spans="1:8">
      <c r="A217" s="7">
        <v>210407</v>
      </c>
      <c r="B217" s="8" t="s">
        <v>375</v>
      </c>
      <c r="C217" s="21">
        <v>0</v>
      </c>
      <c r="D217" s="22">
        <v>90807</v>
      </c>
      <c r="E217" s="22">
        <f t="shared" ref="E217:E232" si="28">SUM(C217:D217)*0.31</f>
        <v>28150.17</v>
      </c>
      <c r="F217" s="22">
        <v>0</v>
      </c>
      <c r="G217" s="22">
        <v>47684</v>
      </c>
      <c r="H217" s="22">
        <f t="shared" ref="H217:H232" si="29">SUM(C217:G217)</f>
        <v>166641.16999999998</v>
      </c>
    </row>
    <row r="218" spans="1:8">
      <c r="A218" s="7">
        <v>214001</v>
      </c>
      <c r="B218" s="8" t="s">
        <v>376</v>
      </c>
      <c r="C218" s="21">
        <v>76963</v>
      </c>
      <c r="D218" s="22">
        <v>151342</v>
      </c>
      <c r="E218" s="22">
        <f t="shared" si="28"/>
        <v>70774.55</v>
      </c>
      <c r="F218" s="22">
        <v>0</v>
      </c>
      <c r="G218" s="22">
        <v>31446</v>
      </c>
      <c r="H218" s="22">
        <f t="shared" si="29"/>
        <v>330525.55</v>
      </c>
    </row>
    <row r="219" spans="1:8">
      <c r="A219" s="7">
        <v>214009</v>
      </c>
      <c r="B219" s="8" t="s">
        <v>177</v>
      </c>
      <c r="C219" s="21">
        <v>0</v>
      </c>
      <c r="D219" s="22">
        <v>1000</v>
      </c>
      <c r="E219" s="22">
        <f t="shared" si="28"/>
        <v>310</v>
      </c>
      <c r="F219" s="22">
        <v>0</v>
      </c>
      <c r="G219" s="22">
        <v>5414</v>
      </c>
      <c r="H219" s="22">
        <f t="shared" si="29"/>
        <v>6724</v>
      </c>
    </row>
    <row r="220" spans="1:8">
      <c r="A220" s="7">
        <v>215024</v>
      </c>
      <c r="B220" s="8" t="s">
        <v>178</v>
      </c>
      <c r="C220" s="21">
        <v>152998</v>
      </c>
      <c r="D220" s="22">
        <f>190974+20000</f>
        <v>210974</v>
      </c>
      <c r="E220" s="22">
        <f t="shared" si="28"/>
        <v>112831.31999999999</v>
      </c>
      <c r="F220" s="22">
        <v>0</v>
      </c>
      <c r="G220" s="22">
        <v>48073</v>
      </c>
      <c r="H220" s="22">
        <f t="shared" si="29"/>
        <v>524876.32000000007</v>
      </c>
    </row>
    <row r="221" spans="1:8">
      <c r="A221" s="7">
        <v>215025</v>
      </c>
      <c r="B221" s="8" t="s">
        <v>179</v>
      </c>
      <c r="C221" s="21">
        <v>0</v>
      </c>
      <c r="D221" s="22">
        <v>0</v>
      </c>
      <c r="E221" s="22">
        <f t="shared" si="28"/>
        <v>0</v>
      </c>
      <c r="F221" s="22">
        <v>0</v>
      </c>
      <c r="G221" s="22">
        <v>0</v>
      </c>
      <c r="H221" s="22">
        <f t="shared" si="29"/>
        <v>0</v>
      </c>
    </row>
    <row r="222" spans="1:8">
      <c r="A222" s="7">
        <v>215033</v>
      </c>
      <c r="B222" s="8" t="s">
        <v>377</v>
      </c>
      <c r="C222" s="21">
        <v>0</v>
      </c>
      <c r="D222" s="22">
        <v>0</v>
      </c>
      <c r="E222" s="22">
        <f t="shared" si="28"/>
        <v>0</v>
      </c>
      <c r="F222" s="22">
        <v>0</v>
      </c>
      <c r="G222" s="22">
        <v>13200</v>
      </c>
      <c r="H222" s="22">
        <f t="shared" si="29"/>
        <v>13200</v>
      </c>
    </row>
    <row r="223" spans="1:8">
      <c r="A223" s="7">
        <v>215040</v>
      </c>
      <c r="B223" s="8" t="s">
        <v>180</v>
      </c>
      <c r="C223" s="21">
        <v>121305</v>
      </c>
      <c r="D223" s="22">
        <v>18503</v>
      </c>
      <c r="E223" s="22">
        <f t="shared" si="28"/>
        <v>43340.480000000003</v>
      </c>
      <c r="F223" s="22">
        <v>0</v>
      </c>
      <c r="G223" s="22">
        <v>48976</v>
      </c>
      <c r="H223" s="22">
        <f t="shared" si="29"/>
        <v>232124.48</v>
      </c>
    </row>
    <row r="224" spans="1:8">
      <c r="A224" s="7">
        <v>215041</v>
      </c>
      <c r="B224" s="8" t="s">
        <v>181</v>
      </c>
      <c r="C224" s="21">
        <v>0</v>
      </c>
      <c r="D224" s="22">
        <v>0</v>
      </c>
      <c r="E224" s="22">
        <f t="shared" si="28"/>
        <v>0</v>
      </c>
      <c r="F224" s="22">
        <v>0</v>
      </c>
      <c r="G224" s="22">
        <v>15000</v>
      </c>
      <c r="H224" s="22">
        <f t="shared" si="29"/>
        <v>15000</v>
      </c>
    </row>
    <row r="225" spans="1:8">
      <c r="A225" s="7">
        <v>215042</v>
      </c>
      <c r="B225" s="8" t="s">
        <v>182</v>
      </c>
      <c r="C225" s="21">
        <v>0</v>
      </c>
      <c r="D225" s="22">
        <v>0</v>
      </c>
      <c r="E225" s="22">
        <f t="shared" si="28"/>
        <v>0</v>
      </c>
      <c r="F225" s="22">
        <v>0</v>
      </c>
      <c r="G225" s="22">
        <v>107148</v>
      </c>
      <c r="H225" s="22">
        <f>SUM(C225:G225)</f>
        <v>107148</v>
      </c>
    </row>
    <row r="226" spans="1:8">
      <c r="A226" s="7">
        <v>215050</v>
      </c>
      <c r="B226" s="8" t="s">
        <v>183</v>
      </c>
      <c r="C226" s="21">
        <v>340605.99</v>
      </c>
      <c r="D226" s="22">
        <f>112019.53+30000</f>
        <v>142019.53</v>
      </c>
      <c r="E226" s="22">
        <f t="shared" si="28"/>
        <v>149613.9112</v>
      </c>
      <c r="F226" s="22">
        <v>0</v>
      </c>
      <c r="G226" s="22">
        <v>122192</v>
      </c>
      <c r="H226" s="22">
        <f t="shared" si="29"/>
        <v>754431.43119999999</v>
      </c>
    </row>
    <row r="227" spans="1:8">
      <c r="A227" s="7">
        <v>215051</v>
      </c>
      <c r="B227" s="8" t="s">
        <v>110</v>
      </c>
      <c r="C227" s="21">
        <v>0</v>
      </c>
      <c r="D227" s="22">
        <v>0</v>
      </c>
      <c r="E227" s="22">
        <f t="shared" si="28"/>
        <v>0</v>
      </c>
      <c r="F227" s="22">
        <v>0</v>
      </c>
      <c r="G227" s="22">
        <v>26491</v>
      </c>
      <c r="H227" s="22">
        <f t="shared" si="29"/>
        <v>26491</v>
      </c>
    </row>
    <row r="228" spans="1:8">
      <c r="A228" s="7">
        <v>215053</v>
      </c>
      <c r="B228" s="8" t="s">
        <v>378</v>
      </c>
      <c r="C228" s="21">
        <v>0</v>
      </c>
      <c r="D228" s="22">
        <v>0</v>
      </c>
      <c r="E228" s="22">
        <f t="shared" si="28"/>
        <v>0</v>
      </c>
      <c r="F228" s="22">
        <v>0</v>
      </c>
      <c r="G228" s="22">
        <v>0</v>
      </c>
      <c r="H228" s="22">
        <f t="shared" si="29"/>
        <v>0</v>
      </c>
    </row>
    <row r="229" spans="1:8">
      <c r="A229" s="7">
        <v>215054</v>
      </c>
      <c r="B229" s="8" t="s">
        <v>184</v>
      </c>
      <c r="C229" s="21">
        <v>0</v>
      </c>
      <c r="D229" s="22">
        <v>0</v>
      </c>
      <c r="E229" s="22">
        <f t="shared" si="28"/>
        <v>0</v>
      </c>
      <c r="F229" s="22">
        <v>0</v>
      </c>
      <c r="G229" s="22">
        <v>150000</v>
      </c>
      <c r="H229" s="22">
        <f t="shared" si="29"/>
        <v>150000</v>
      </c>
    </row>
    <row r="230" spans="1:8">
      <c r="A230" s="7">
        <v>215057</v>
      </c>
      <c r="B230" s="8" t="s">
        <v>185</v>
      </c>
      <c r="C230" s="21">
        <v>0</v>
      </c>
      <c r="D230" s="22">
        <v>0</v>
      </c>
      <c r="E230" s="22">
        <f t="shared" si="28"/>
        <v>0</v>
      </c>
      <c r="F230" s="22">
        <v>0</v>
      </c>
      <c r="G230" s="22">
        <v>4090</v>
      </c>
      <c r="H230" s="22">
        <f t="shared" si="29"/>
        <v>4090</v>
      </c>
    </row>
    <row r="231" spans="1:8">
      <c r="A231" s="7">
        <v>215072</v>
      </c>
      <c r="B231" s="8" t="s">
        <v>179</v>
      </c>
      <c r="C231" s="21">
        <v>38000</v>
      </c>
      <c r="D231" s="22">
        <v>0</v>
      </c>
      <c r="E231" s="22">
        <f t="shared" si="28"/>
        <v>11780</v>
      </c>
      <c r="F231" s="22">
        <v>0</v>
      </c>
      <c r="G231" s="22">
        <v>0</v>
      </c>
      <c r="H231" s="22">
        <f t="shared" si="29"/>
        <v>49780</v>
      </c>
    </row>
    <row r="232" spans="1:8">
      <c r="A232" s="7">
        <v>216005</v>
      </c>
      <c r="B232" s="8" t="s">
        <v>109</v>
      </c>
      <c r="C232" s="21">
        <v>118526.51</v>
      </c>
      <c r="D232" s="22">
        <v>33142</v>
      </c>
      <c r="E232" s="22">
        <f t="shared" si="28"/>
        <v>47017.238100000002</v>
      </c>
      <c r="F232" s="22">
        <v>0</v>
      </c>
      <c r="G232" s="22">
        <v>93514</v>
      </c>
      <c r="H232" s="22">
        <f t="shared" si="29"/>
        <v>292199.74810000003</v>
      </c>
    </row>
    <row r="233" spans="1:8">
      <c r="A233" s="7" t="s">
        <v>348</v>
      </c>
      <c r="C233" s="21"/>
      <c r="D233" s="22"/>
      <c r="E233" s="22" t="s">
        <v>297</v>
      </c>
      <c r="F233" s="22"/>
      <c r="G233" s="22"/>
      <c r="H233" s="22"/>
    </row>
    <row r="234" spans="1:8">
      <c r="B234" s="8" t="s">
        <v>319</v>
      </c>
      <c r="C234" s="23">
        <f t="shared" ref="C234:H234" si="30">SUM(C217:C233)</f>
        <v>848398.5</v>
      </c>
      <c r="D234" s="23">
        <f t="shared" si="30"/>
        <v>647787.53</v>
      </c>
      <c r="E234" s="23">
        <f t="shared" si="30"/>
        <v>463817.66930000001</v>
      </c>
      <c r="F234" s="23">
        <f t="shared" si="30"/>
        <v>0</v>
      </c>
      <c r="G234" s="23">
        <f>SUM(G217:G233)</f>
        <v>713228</v>
      </c>
      <c r="H234" s="23">
        <f t="shared" si="30"/>
        <v>2673231.6993</v>
      </c>
    </row>
    <row r="235" spans="1:8">
      <c r="A235" s="7" t="s">
        <v>348</v>
      </c>
      <c r="C235" s="21"/>
      <c r="D235" s="25" t="s">
        <v>346</v>
      </c>
      <c r="E235" s="22"/>
      <c r="F235" s="22"/>
      <c r="G235" s="22"/>
      <c r="H235" s="22"/>
    </row>
    <row r="236" spans="1:8">
      <c r="A236" s="5"/>
      <c r="B236" s="19" t="s">
        <v>321</v>
      </c>
      <c r="C236" s="21"/>
      <c r="D236" s="22"/>
      <c r="E236" s="22"/>
      <c r="F236" s="22"/>
      <c r="G236" s="22"/>
      <c r="H236" s="22"/>
    </row>
    <row r="237" spans="1:8">
      <c r="A237" s="7">
        <v>210311</v>
      </c>
      <c r="B237" s="8" t="s">
        <v>295</v>
      </c>
      <c r="C237" s="21">
        <v>0</v>
      </c>
      <c r="D237" s="22">
        <v>0</v>
      </c>
      <c r="E237" s="22">
        <f t="shared" ref="E237:E250" si="31">SUM(C237:D237)*0.31</f>
        <v>0</v>
      </c>
      <c r="F237" s="22">
        <v>0</v>
      </c>
      <c r="G237" s="22">
        <v>5829</v>
      </c>
      <c r="H237" s="22">
        <f t="shared" ref="H237:H250" si="32">SUM(C237:G237)</f>
        <v>5829</v>
      </c>
    </row>
    <row r="238" spans="1:8">
      <c r="A238" s="7">
        <v>211005</v>
      </c>
      <c r="B238" s="8" t="s">
        <v>175</v>
      </c>
      <c r="C238" s="21">
        <v>58532.49</v>
      </c>
      <c r="D238" s="22">
        <v>592142.61</v>
      </c>
      <c r="E238" s="22">
        <f t="shared" si="31"/>
        <v>201709.28099999999</v>
      </c>
      <c r="F238" s="22">
        <v>0</v>
      </c>
      <c r="G238" s="22">
        <v>25000</v>
      </c>
      <c r="H238" s="22">
        <f t="shared" si="32"/>
        <v>877384.38099999994</v>
      </c>
    </row>
    <row r="239" spans="1:8">
      <c r="A239" s="7">
        <v>211006</v>
      </c>
      <c r="B239" s="8" t="s">
        <v>169</v>
      </c>
      <c r="C239" s="21">
        <v>113573.49</v>
      </c>
      <c r="D239" s="22">
        <v>667054.51</v>
      </c>
      <c r="E239" s="22">
        <f t="shared" si="31"/>
        <v>241994.68</v>
      </c>
      <c r="F239" s="22">
        <v>0</v>
      </c>
      <c r="G239" s="22">
        <f>116512-6000-16000-9000</f>
        <v>85512</v>
      </c>
      <c r="H239" s="22">
        <f t="shared" si="32"/>
        <v>1108134.68</v>
      </c>
    </row>
    <row r="240" spans="1:8">
      <c r="A240" s="7">
        <v>211007</v>
      </c>
      <c r="B240" s="8" t="s">
        <v>379</v>
      </c>
      <c r="C240" s="26">
        <v>0</v>
      </c>
      <c r="D240" s="27">
        <v>123335.55</v>
      </c>
      <c r="E240" s="27">
        <f t="shared" si="31"/>
        <v>38234.020499999999</v>
      </c>
      <c r="F240" s="27">
        <v>0</v>
      </c>
      <c r="G240" s="27">
        <v>10000</v>
      </c>
      <c r="H240" s="27">
        <f t="shared" si="32"/>
        <v>171569.5705</v>
      </c>
    </row>
    <row r="241" spans="1:9">
      <c r="A241" s="7">
        <v>211008</v>
      </c>
      <c r="B241" s="8" t="s">
        <v>18</v>
      </c>
      <c r="C241" s="21">
        <v>0</v>
      </c>
      <c r="D241" s="22">
        <v>0</v>
      </c>
      <c r="E241" s="22">
        <f t="shared" si="31"/>
        <v>0</v>
      </c>
      <c r="F241" s="22">
        <v>600000</v>
      </c>
      <c r="G241" s="22">
        <v>0</v>
      </c>
      <c r="H241" s="22">
        <f t="shared" si="32"/>
        <v>600000</v>
      </c>
    </row>
    <row r="242" spans="1:9">
      <c r="A242" s="7">
        <v>211010</v>
      </c>
      <c r="B242" s="8" t="s">
        <v>170</v>
      </c>
      <c r="C242" s="21">
        <v>0</v>
      </c>
      <c r="D242" s="22">
        <v>0</v>
      </c>
      <c r="E242" s="22">
        <f t="shared" si="31"/>
        <v>0</v>
      </c>
      <c r="F242" s="22">
        <v>0</v>
      </c>
      <c r="G242" s="22">
        <f>19000+6000</f>
        <v>25000</v>
      </c>
      <c r="H242" s="22">
        <f t="shared" si="32"/>
        <v>25000</v>
      </c>
    </row>
    <row r="243" spans="1:9">
      <c r="A243" s="7">
        <v>211011</v>
      </c>
      <c r="B243" s="8" t="s">
        <v>176</v>
      </c>
      <c r="C243" s="21">
        <v>0</v>
      </c>
      <c r="D243" s="22">
        <v>3000</v>
      </c>
      <c r="E243" s="22">
        <f t="shared" si="31"/>
        <v>930</v>
      </c>
      <c r="F243" s="22">
        <v>0</v>
      </c>
      <c r="G243" s="22">
        <v>0</v>
      </c>
      <c r="H243" s="22">
        <f t="shared" si="32"/>
        <v>3930</v>
      </c>
    </row>
    <row r="244" spans="1:9">
      <c r="A244" s="7">
        <v>211014</v>
      </c>
      <c r="B244" s="8" t="s">
        <v>19</v>
      </c>
      <c r="C244" s="21">
        <v>0</v>
      </c>
      <c r="D244" s="22">
        <v>0</v>
      </c>
      <c r="E244" s="22">
        <f t="shared" si="31"/>
        <v>0</v>
      </c>
      <c r="F244" s="22">
        <v>10000</v>
      </c>
      <c r="G244" s="22">
        <v>0</v>
      </c>
      <c r="H244" s="22">
        <f t="shared" si="32"/>
        <v>10000</v>
      </c>
    </row>
    <row r="245" spans="1:9">
      <c r="A245" s="7">
        <v>211015</v>
      </c>
      <c r="B245" s="8" t="s">
        <v>171</v>
      </c>
      <c r="C245" s="21">
        <v>0</v>
      </c>
      <c r="D245" s="22">
        <v>0</v>
      </c>
      <c r="E245" s="22">
        <f t="shared" si="31"/>
        <v>0</v>
      </c>
      <c r="F245" s="22">
        <v>0</v>
      </c>
      <c r="G245" s="22">
        <f>16000+9000</f>
        <v>25000</v>
      </c>
      <c r="H245" s="22">
        <f t="shared" si="32"/>
        <v>25000</v>
      </c>
    </row>
    <row r="246" spans="1:9">
      <c r="A246" s="7">
        <v>211021</v>
      </c>
      <c r="B246" s="8" t="s">
        <v>172</v>
      </c>
      <c r="C246" s="21">
        <v>0</v>
      </c>
      <c r="D246" s="22">
        <v>0</v>
      </c>
      <c r="E246" s="22">
        <f t="shared" si="31"/>
        <v>0</v>
      </c>
      <c r="F246" s="22">
        <v>0</v>
      </c>
      <c r="G246" s="22">
        <v>40000</v>
      </c>
      <c r="H246" s="22">
        <f t="shared" si="32"/>
        <v>40000</v>
      </c>
    </row>
    <row r="247" spans="1:9">
      <c r="A247" s="7">
        <v>212002</v>
      </c>
      <c r="B247" s="8" t="s">
        <v>173</v>
      </c>
      <c r="C247" s="21">
        <v>0</v>
      </c>
      <c r="D247" s="22">
        <v>257952</v>
      </c>
      <c r="E247" s="22">
        <f t="shared" si="31"/>
        <v>79965.119999999995</v>
      </c>
      <c r="F247" s="22">
        <v>0</v>
      </c>
      <c r="G247" s="22">
        <v>16074</v>
      </c>
      <c r="H247" s="22">
        <f t="shared" si="32"/>
        <v>353991.12</v>
      </c>
    </row>
    <row r="248" spans="1:9">
      <c r="A248" s="7">
        <v>215010</v>
      </c>
      <c r="B248" s="8" t="s">
        <v>20</v>
      </c>
      <c r="C248" s="21">
        <v>0</v>
      </c>
      <c r="D248" s="22">
        <v>96832.71</v>
      </c>
      <c r="E248" s="22">
        <f t="shared" si="31"/>
        <v>30018.140100000001</v>
      </c>
      <c r="F248" s="22">
        <v>0</v>
      </c>
      <c r="G248" s="22">
        <v>116484</v>
      </c>
      <c r="H248" s="22">
        <f t="shared" si="32"/>
        <v>243334.85010000001</v>
      </c>
    </row>
    <row r="249" spans="1:9">
      <c r="A249" s="7">
        <v>216027</v>
      </c>
      <c r="B249" s="8" t="s">
        <v>174</v>
      </c>
      <c r="C249" s="21">
        <v>0</v>
      </c>
      <c r="D249" s="22">
        <v>106338.62</v>
      </c>
      <c r="E249" s="22">
        <f t="shared" si="31"/>
        <v>32964.972199999997</v>
      </c>
      <c r="F249" s="22">
        <v>0</v>
      </c>
      <c r="G249" s="22">
        <v>115302</v>
      </c>
      <c r="H249" s="22">
        <f t="shared" si="32"/>
        <v>254605.59219999998</v>
      </c>
    </row>
    <row r="250" spans="1:9">
      <c r="A250" s="7">
        <v>217014</v>
      </c>
      <c r="B250" s="8" t="s">
        <v>380</v>
      </c>
      <c r="C250" s="21">
        <v>44928.49</v>
      </c>
      <c r="D250" s="22">
        <v>346069.93</v>
      </c>
      <c r="E250" s="22">
        <f t="shared" si="31"/>
        <v>121209.51019999999</v>
      </c>
      <c r="F250" s="22">
        <v>0</v>
      </c>
      <c r="G250" s="22">
        <v>50000</v>
      </c>
      <c r="H250" s="22">
        <f t="shared" si="32"/>
        <v>562207.93019999994</v>
      </c>
      <c r="I250" s="1" t="s">
        <v>297</v>
      </c>
    </row>
    <row r="251" spans="1:9">
      <c r="C251" s="21"/>
      <c r="D251" s="22"/>
      <c r="E251" s="22"/>
      <c r="F251" s="22"/>
      <c r="G251" s="22"/>
      <c r="H251" s="22"/>
    </row>
    <row r="252" spans="1:9">
      <c r="B252" s="8" t="s">
        <v>322</v>
      </c>
      <c r="C252" s="24">
        <f t="shared" ref="C252:H252" si="33">SUM(C237:C250)</f>
        <v>217034.47</v>
      </c>
      <c r="D252" s="24">
        <f t="shared" si="33"/>
        <v>2192725.9300000002</v>
      </c>
      <c r="E252" s="24">
        <f t="shared" si="33"/>
        <v>747025.72399999993</v>
      </c>
      <c r="F252" s="24">
        <f t="shared" si="33"/>
        <v>610000</v>
      </c>
      <c r="G252" s="24">
        <f t="shared" si="33"/>
        <v>514201</v>
      </c>
      <c r="H252" s="24">
        <f t="shared" si="33"/>
        <v>4280987.1239999998</v>
      </c>
    </row>
    <row r="253" spans="1:9">
      <c r="A253" s="7" t="s">
        <v>348</v>
      </c>
      <c r="C253" s="31"/>
      <c r="D253" s="31"/>
      <c r="E253" s="31"/>
      <c r="F253" s="31"/>
      <c r="G253" s="31"/>
      <c r="H253" s="31"/>
    </row>
    <row r="254" spans="1:9">
      <c r="A254" s="5"/>
      <c r="B254" s="19" t="s">
        <v>337</v>
      </c>
      <c r="C254" s="21"/>
      <c r="D254" s="22"/>
      <c r="E254" s="22"/>
      <c r="F254" s="22"/>
      <c r="G254" s="22"/>
      <c r="H254" s="22"/>
    </row>
    <row r="255" spans="1:9">
      <c r="A255" s="7">
        <v>210322</v>
      </c>
      <c r="B255" s="8" t="s">
        <v>155</v>
      </c>
      <c r="C255" s="22">
        <v>82209.5</v>
      </c>
      <c r="D255" s="22">
        <v>0</v>
      </c>
      <c r="E255" s="22">
        <f t="shared" ref="E255:E277" si="34">SUM(C255:D255)*0.31</f>
        <v>25484.945</v>
      </c>
      <c r="F255" s="22">
        <v>0</v>
      </c>
      <c r="G255" s="22">
        <v>1506</v>
      </c>
      <c r="H255" s="22">
        <f t="shared" ref="H255:H261" si="35">SUM(C255:G255)</f>
        <v>109200.44500000001</v>
      </c>
    </row>
    <row r="256" spans="1:9">
      <c r="A256" s="7">
        <v>210605</v>
      </c>
      <c r="B256" s="8" t="s">
        <v>156</v>
      </c>
      <c r="C256" s="22">
        <v>4334.5</v>
      </c>
      <c r="D256" s="22">
        <v>0</v>
      </c>
      <c r="E256" s="22">
        <f t="shared" si="34"/>
        <v>1343.6949999999999</v>
      </c>
      <c r="F256" s="22">
        <v>0</v>
      </c>
      <c r="G256" s="22">
        <v>0</v>
      </c>
      <c r="H256" s="22">
        <f t="shared" si="35"/>
        <v>5678.1949999999997</v>
      </c>
    </row>
    <row r="257" spans="1:8">
      <c r="A257" s="7">
        <v>211002</v>
      </c>
      <c r="B257" s="8" t="s">
        <v>56</v>
      </c>
      <c r="C257" s="22">
        <v>201131.49</v>
      </c>
      <c r="D257" s="22">
        <v>56985.48</v>
      </c>
      <c r="E257" s="22">
        <f t="shared" si="34"/>
        <v>80016.260699999999</v>
      </c>
      <c r="F257" s="22">
        <v>0</v>
      </c>
      <c r="G257" s="22">
        <v>24988</v>
      </c>
      <c r="H257" s="22">
        <f t="shared" si="35"/>
        <v>363121.23070000001</v>
      </c>
    </row>
    <row r="258" spans="1:8">
      <c r="A258" s="7">
        <v>213001</v>
      </c>
      <c r="B258" s="8" t="s">
        <v>381</v>
      </c>
      <c r="C258" s="21">
        <v>349238</v>
      </c>
      <c r="D258" s="22">
        <v>201247.62</v>
      </c>
      <c r="E258" s="22">
        <f t="shared" si="34"/>
        <v>170650.5422</v>
      </c>
      <c r="F258" s="22">
        <v>0</v>
      </c>
      <c r="G258" s="22">
        <v>305110</v>
      </c>
      <c r="H258" s="22">
        <f t="shared" si="35"/>
        <v>1026246.1622</v>
      </c>
    </row>
    <row r="259" spans="1:8">
      <c r="A259" s="7">
        <v>213003</v>
      </c>
      <c r="B259" s="8" t="s">
        <v>382</v>
      </c>
      <c r="C259" s="21">
        <v>243649</v>
      </c>
      <c r="D259" s="22">
        <v>163738.87</v>
      </c>
      <c r="E259" s="22">
        <f t="shared" si="34"/>
        <v>126290.23969999999</v>
      </c>
      <c r="F259" s="22">
        <v>0</v>
      </c>
      <c r="G259" s="22">
        <v>58885</v>
      </c>
      <c r="H259" s="22">
        <f t="shared" si="35"/>
        <v>592563.10970000003</v>
      </c>
    </row>
    <row r="260" spans="1:8">
      <c r="A260" s="7">
        <v>213004</v>
      </c>
      <c r="B260" s="8" t="s">
        <v>157</v>
      </c>
      <c r="C260" s="21">
        <v>229621</v>
      </c>
      <c r="D260" s="22">
        <v>99094.84</v>
      </c>
      <c r="E260" s="22">
        <f t="shared" si="34"/>
        <v>101901.91039999999</v>
      </c>
      <c r="F260" s="22">
        <v>0</v>
      </c>
      <c r="G260" s="22">
        <v>73771</v>
      </c>
      <c r="H260" s="22">
        <f t="shared" si="35"/>
        <v>504388.75039999996</v>
      </c>
    </row>
    <row r="261" spans="1:8">
      <c r="A261" s="7">
        <v>213005</v>
      </c>
      <c r="B261" s="8" t="s">
        <v>158</v>
      </c>
      <c r="C261" s="21">
        <v>303959</v>
      </c>
      <c r="D261" s="22">
        <v>125322</v>
      </c>
      <c r="E261" s="22">
        <f t="shared" si="34"/>
        <v>133077.10999999999</v>
      </c>
      <c r="F261" s="22">
        <v>0</v>
      </c>
      <c r="G261" s="22">
        <v>34709</v>
      </c>
      <c r="H261" s="22">
        <f t="shared" si="35"/>
        <v>597067.11</v>
      </c>
    </row>
    <row r="262" spans="1:8">
      <c r="A262" s="7">
        <v>213008</v>
      </c>
      <c r="B262" s="8" t="s">
        <v>159</v>
      </c>
      <c r="C262" s="21">
        <v>311038.5</v>
      </c>
      <c r="D262" s="22">
        <v>29089.02</v>
      </c>
      <c r="E262" s="22">
        <f t="shared" si="34"/>
        <v>105439.53120000001</v>
      </c>
      <c r="F262" s="22">
        <v>0</v>
      </c>
      <c r="G262" s="22">
        <v>6380</v>
      </c>
      <c r="H262" s="22">
        <f t="shared" ref="H262:H277" si="36">SUM(C262:G262)</f>
        <v>451947.05120000005</v>
      </c>
    </row>
    <row r="263" spans="1:8">
      <c r="A263" s="7">
        <v>213009</v>
      </c>
      <c r="B263" s="8" t="s">
        <v>383</v>
      </c>
      <c r="C263" s="21">
        <v>0</v>
      </c>
      <c r="D263" s="22">
        <v>0</v>
      </c>
      <c r="E263" s="22">
        <f t="shared" si="34"/>
        <v>0</v>
      </c>
      <c r="F263" s="22">
        <v>0</v>
      </c>
      <c r="G263" s="22">
        <v>0</v>
      </c>
      <c r="H263" s="22">
        <f>SUM(C263:G263)</f>
        <v>0</v>
      </c>
    </row>
    <row r="264" spans="1:8">
      <c r="A264" s="7">
        <v>213010</v>
      </c>
      <c r="B264" s="8" t="s">
        <v>160</v>
      </c>
      <c r="C264" s="21">
        <v>0</v>
      </c>
      <c r="D264" s="22">
        <v>0</v>
      </c>
      <c r="E264" s="22">
        <f t="shared" si="34"/>
        <v>0</v>
      </c>
      <c r="F264" s="22">
        <v>0</v>
      </c>
      <c r="G264" s="22">
        <v>3179</v>
      </c>
      <c r="H264" s="22">
        <f t="shared" si="36"/>
        <v>3179</v>
      </c>
    </row>
    <row r="265" spans="1:8">
      <c r="A265" s="7">
        <v>213011</v>
      </c>
      <c r="B265" s="8" t="s">
        <v>384</v>
      </c>
      <c r="C265" s="21">
        <v>0</v>
      </c>
      <c r="D265" s="22">
        <v>0</v>
      </c>
      <c r="E265" s="22">
        <f t="shared" si="34"/>
        <v>0</v>
      </c>
      <c r="F265" s="22">
        <v>0</v>
      </c>
      <c r="G265" s="22">
        <v>25000</v>
      </c>
      <c r="H265" s="22">
        <f t="shared" si="36"/>
        <v>25000</v>
      </c>
    </row>
    <row r="266" spans="1:8">
      <c r="A266" s="7">
        <v>215006</v>
      </c>
      <c r="B266" s="8" t="s">
        <v>57</v>
      </c>
      <c r="C266" s="21">
        <v>139794</v>
      </c>
      <c r="D266" s="22">
        <v>35956.9</v>
      </c>
      <c r="E266" s="22">
        <f t="shared" si="34"/>
        <v>54482.778999999995</v>
      </c>
      <c r="F266" s="22">
        <v>0</v>
      </c>
      <c r="G266" s="22">
        <v>24587</v>
      </c>
      <c r="H266" s="22">
        <f t="shared" si="36"/>
        <v>254820.679</v>
      </c>
    </row>
    <row r="267" spans="1:8">
      <c r="A267" s="7">
        <v>215023</v>
      </c>
      <c r="B267" s="8" t="s">
        <v>161</v>
      </c>
      <c r="C267" s="21">
        <v>0</v>
      </c>
      <c r="D267" s="22">
        <v>6500</v>
      </c>
      <c r="E267" s="22">
        <f t="shared" si="34"/>
        <v>2015</v>
      </c>
      <c r="F267" s="22">
        <v>0</v>
      </c>
      <c r="G267" s="22">
        <v>21963</v>
      </c>
      <c r="H267" s="22">
        <f t="shared" si="36"/>
        <v>30478</v>
      </c>
    </row>
    <row r="268" spans="1:8">
      <c r="A268" s="7">
        <v>215035</v>
      </c>
      <c r="B268" s="8" t="s">
        <v>162</v>
      </c>
      <c r="C268" s="21">
        <v>61662</v>
      </c>
      <c r="D268" s="22">
        <v>45051.3</v>
      </c>
      <c r="E268" s="22">
        <f t="shared" si="34"/>
        <v>33081.123</v>
      </c>
      <c r="F268" s="22">
        <v>0</v>
      </c>
      <c r="G268" s="22">
        <f>29658-18500</f>
        <v>11158</v>
      </c>
      <c r="H268" s="22">
        <f>SUM(C268:G268)</f>
        <v>150952.42300000001</v>
      </c>
    </row>
    <row r="269" spans="1:8">
      <c r="A269" s="7">
        <v>215038</v>
      </c>
      <c r="B269" s="8" t="s">
        <v>163</v>
      </c>
      <c r="C269" s="21">
        <v>0</v>
      </c>
      <c r="D269" s="22">
        <v>0</v>
      </c>
      <c r="E269" s="22">
        <f t="shared" si="34"/>
        <v>0</v>
      </c>
      <c r="F269" s="22">
        <v>0</v>
      </c>
      <c r="G269" s="22">
        <v>3543</v>
      </c>
      <c r="H269" s="22">
        <f t="shared" si="36"/>
        <v>3543</v>
      </c>
    </row>
    <row r="270" spans="1:8">
      <c r="A270" s="7">
        <v>215056</v>
      </c>
      <c r="B270" s="8" t="s">
        <v>164</v>
      </c>
      <c r="C270" s="21">
        <v>0</v>
      </c>
      <c r="D270" s="22">
        <v>0</v>
      </c>
      <c r="E270" s="22">
        <f t="shared" si="34"/>
        <v>0</v>
      </c>
      <c r="F270" s="22">
        <v>0</v>
      </c>
      <c r="G270" s="22">
        <v>34700</v>
      </c>
      <c r="H270" s="22">
        <f t="shared" si="36"/>
        <v>34700</v>
      </c>
    </row>
    <row r="271" spans="1:8">
      <c r="A271" s="7">
        <v>215060</v>
      </c>
      <c r="B271" s="8" t="s">
        <v>165</v>
      </c>
      <c r="C271" s="21">
        <v>34511.83</v>
      </c>
      <c r="D271" s="22">
        <v>0</v>
      </c>
      <c r="E271" s="22">
        <f t="shared" si="34"/>
        <v>10698.667300000001</v>
      </c>
      <c r="F271" s="22">
        <v>0</v>
      </c>
      <c r="G271" s="22">
        <v>5000</v>
      </c>
      <c r="H271" s="22">
        <f t="shared" si="36"/>
        <v>50210.497300000003</v>
      </c>
    </row>
    <row r="272" spans="1:8">
      <c r="A272" s="7">
        <v>215061</v>
      </c>
      <c r="B272" s="8" t="s">
        <v>6</v>
      </c>
      <c r="C272" s="21">
        <v>84800</v>
      </c>
      <c r="D272" s="22">
        <v>0</v>
      </c>
      <c r="E272" s="22">
        <f t="shared" si="34"/>
        <v>26288</v>
      </c>
      <c r="F272" s="22">
        <v>0</v>
      </c>
      <c r="G272" s="22">
        <v>10000</v>
      </c>
      <c r="H272" s="22">
        <f t="shared" si="36"/>
        <v>121088</v>
      </c>
    </row>
    <row r="273" spans="1:9">
      <c r="A273" s="7">
        <v>215068</v>
      </c>
      <c r="B273" s="8" t="s">
        <v>166</v>
      </c>
      <c r="C273" s="21">
        <v>0</v>
      </c>
      <c r="D273" s="22">
        <v>0</v>
      </c>
      <c r="E273" s="22">
        <f t="shared" si="34"/>
        <v>0</v>
      </c>
      <c r="F273" s="22">
        <v>0</v>
      </c>
      <c r="G273" s="22">
        <v>6000</v>
      </c>
      <c r="H273" s="22">
        <f t="shared" si="36"/>
        <v>6000</v>
      </c>
    </row>
    <row r="274" spans="1:9">
      <c r="A274" s="7">
        <v>216075</v>
      </c>
      <c r="B274" s="8" t="s">
        <v>7</v>
      </c>
      <c r="C274" s="21">
        <v>0</v>
      </c>
      <c r="D274" s="22">
        <v>0</v>
      </c>
      <c r="E274" s="22">
        <f t="shared" si="34"/>
        <v>0</v>
      </c>
      <c r="F274" s="22">
        <v>0</v>
      </c>
      <c r="G274" s="22">
        <v>116262</v>
      </c>
      <c r="H274" s="22">
        <f t="shared" si="36"/>
        <v>116262</v>
      </c>
    </row>
    <row r="275" spans="1:9">
      <c r="A275" s="7">
        <v>216082</v>
      </c>
      <c r="B275" s="8" t="s">
        <v>167</v>
      </c>
      <c r="C275" s="21">
        <v>63437.19</v>
      </c>
      <c r="D275" s="22">
        <v>23134</v>
      </c>
      <c r="E275" s="22">
        <f t="shared" si="34"/>
        <v>26837.068900000002</v>
      </c>
      <c r="F275" s="22">
        <v>0</v>
      </c>
      <c r="G275" s="22">
        <f>3921+41193+3936</f>
        <v>49050</v>
      </c>
      <c r="H275" s="22">
        <f t="shared" si="36"/>
        <v>162458.25890000002</v>
      </c>
    </row>
    <row r="276" spans="1:9">
      <c r="A276" s="7">
        <v>216085</v>
      </c>
      <c r="B276" s="8" t="s">
        <v>168</v>
      </c>
      <c r="C276" s="21">
        <v>120326.49</v>
      </c>
      <c r="D276" s="22">
        <v>31470.400000000001</v>
      </c>
      <c r="E276" s="22">
        <f t="shared" si="34"/>
        <v>47057.035900000003</v>
      </c>
      <c r="F276" s="22">
        <v>0</v>
      </c>
      <c r="G276" s="22">
        <v>52103</v>
      </c>
      <c r="H276" s="22">
        <f t="shared" si="36"/>
        <v>250956.92590000003</v>
      </c>
    </row>
    <row r="277" spans="1:9">
      <c r="A277" s="7">
        <v>219030</v>
      </c>
      <c r="B277" s="8" t="s">
        <v>385</v>
      </c>
      <c r="C277" s="21">
        <v>51317</v>
      </c>
      <c r="D277" s="22">
        <v>0</v>
      </c>
      <c r="E277" s="22">
        <f t="shared" si="34"/>
        <v>15908.27</v>
      </c>
      <c r="F277" s="22">
        <v>0</v>
      </c>
      <c r="G277" s="22">
        <v>0</v>
      </c>
      <c r="H277" s="22">
        <f t="shared" si="36"/>
        <v>67225.27</v>
      </c>
    </row>
    <row r="278" spans="1:9">
      <c r="A278" s="7" t="s">
        <v>348</v>
      </c>
      <c r="C278" s="21"/>
      <c r="D278" s="22"/>
      <c r="E278" s="22"/>
      <c r="F278" s="22"/>
      <c r="G278" s="22"/>
      <c r="H278" s="22"/>
    </row>
    <row r="279" spans="1:9">
      <c r="B279" s="8" t="s">
        <v>338</v>
      </c>
      <c r="C279" s="24">
        <f t="shared" ref="C279:H279" si="37">SUM(C254:C278)</f>
        <v>2281029.5000000005</v>
      </c>
      <c r="D279" s="24">
        <f t="shared" si="37"/>
        <v>817590.43</v>
      </c>
      <c r="E279" s="24">
        <f t="shared" si="37"/>
        <v>960572.17829999991</v>
      </c>
      <c r="F279" s="24">
        <f t="shared" si="37"/>
        <v>0</v>
      </c>
      <c r="G279" s="24">
        <f t="shared" si="37"/>
        <v>867894</v>
      </c>
      <c r="H279" s="24">
        <f t="shared" si="37"/>
        <v>4927086.1082999995</v>
      </c>
    </row>
    <row r="280" spans="1:9">
      <c r="A280" s="7" t="s">
        <v>348</v>
      </c>
      <c r="C280" s="31"/>
      <c r="D280" s="31"/>
      <c r="E280" s="31"/>
      <c r="F280" s="31"/>
      <c r="G280" s="31"/>
      <c r="H280" s="31"/>
    </row>
    <row r="281" spans="1:9">
      <c r="A281" s="5"/>
      <c r="B281" s="19" t="s">
        <v>143</v>
      </c>
      <c r="C281" s="21"/>
      <c r="D281" s="22"/>
      <c r="E281" s="22"/>
      <c r="F281" s="22"/>
      <c r="G281" s="22"/>
      <c r="H281" s="22"/>
    </row>
    <row r="282" spans="1:9">
      <c r="A282" s="7">
        <v>214003</v>
      </c>
      <c r="B282" s="8" t="s">
        <v>147</v>
      </c>
      <c r="C282" s="21">
        <v>0</v>
      </c>
      <c r="D282" s="21">
        <v>1140049.6299999999</v>
      </c>
      <c r="E282" s="21">
        <f t="shared" ref="E282:E291" si="38">SUM(C282:D282)*0.31</f>
        <v>353415.38529999997</v>
      </c>
      <c r="F282" s="22">
        <v>0</v>
      </c>
      <c r="G282" s="22">
        <v>372581</v>
      </c>
      <c r="H282" s="22">
        <f t="shared" ref="H282:H291" si="39">SUM(C282:G282)</f>
        <v>1866046.0152999999</v>
      </c>
      <c r="I282" s="1" t="s">
        <v>297</v>
      </c>
    </row>
    <row r="283" spans="1:9">
      <c r="A283" s="7">
        <v>214004</v>
      </c>
      <c r="B283" s="8" t="s">
        <v>386</v>
      </c>
      <c r="C283" s="21">
        <v>0</v>
      </c>
      <c r="D283" s="21">
        <v>991206.41</v>
      </c>
      <c r="E283" s="21">
        <f t="shared" si="38"/>
        <v>307273.98710000003</v>
      </c>
      <c r="F283" s="22">
        <v>0</v>
      </c>
      <c r="G283" s="22">
        <v>81299</v>
      </c>
      <c r="H283" s="22">
        <f t="shared" si="39"/>
        <v>1379779.3971000002</v>
      </c>
    </row>
    <row r="284" spans="1:9">
      <c r="A284" s="7">
        <v>214006</v>
      </c>
      <c r="B284" s="8" t="s">
        <v>148</v>
      </c>
      <c r="C284" s="21">
        <v>0</v>
      </c>
      <c r="D284" s="21">
        <f>4000+14000</f>
        <v>18000</v>
      </c>
      <c r="E284" s="21">
        <f t="shared" si="38"/>
        <v>5580</v>
      </c>
      <c r="F284" s="22">
        <v>0</v>
      </c>
      <c r="G284" s="22">
        <v>2000</v>
      </c>
      <c r="H284" s="22">
        <f t="shared" si="39"/>
        <v>25580</v>
      </c>
    </row>
    <row r="285" spans="1:9">
      <c r="A285" s="7">
        <v>214008</v>
      </c>
      <c r="B285" s="8" t="s">
        <v>387</v>
      </c>
      <c r="C285" s="21">
        <v>0</v>
      </c>
      <c r="D285" s="21">
        <v>0</v>
      </c>
      <c r="E285" s="21">
        <f t="shared" si="38"/>
        <v>0</v>
      </c>
      <c r="F285" s="22">
        <v>0</v>
      </c>
      <c r="G285" s="22">
        <v>22582</v>
      </c>
      <c r="H285" s="22">
        <f t="shared" si="39"/>
        <v>22582</v>
      </c>
    </row>
    <row r="286" spans="1:9">
      <c r="A286" s="7">
        <v>214017</v>
      </c>
      <c r="B286" s="8" t="s">
        <v>8</v>
      </c>
      <c r="C286" s="21">
        <v>0</v>
      </c>
      <c r="D286" s="21">
        <v>0</v>
      </c>
      <c r="E286" s="21">
        <f t="shared" si="38"/>
        <v>0</v>
      </c>
      <c r="F286" s="22">
        <v>0</v>
      </c>
      <c r="G286" s="22">
        <v>48782.49</v>
      </c>
      <c r="H286" s="22">
        <f t="shared" si="39"/>
        <v>48782.49</v>
      </c>
    </row>
    <row r="287" spans="1:9">
      <c r="A287" s="7">
        <v>216006</v>
      </c>
      <c r="B287" s="8" t="s">
        <v>149</v>
      </c>
      <c r="C287" s="21">
        <v>0</v>
      </c>
      <c r="D287" s="21">
        <v>19669</v>
      </c>
      <c r="E287" s="21">
        <f t="shared" si="38"/>
        <v>6097.39</v>
      </c>
      <c r="F287" s="22">
        <v>0</v>
      </c>
      <c r="G287" s="22">
        <v>19232</v>
      </c>
      <c r="H287" s="22">
        <f t="shared" si="39"/>
        <v>44998.39</v>
      </c>
    </row>
    <row r="288" spans="1:9">
      <c r="A288" s="7">
        <v>216011</v>
      </c>
      <c r="B288" s="8" t="s">
        <v>219</v>
      </c>
      <c r="C288" s="21">
        <v>0</v>
      </c>
      <c r="D288" s="21">
        <v>0</v>
      </c>
      <c r="E288" s="21">
        <f t="shared" si="38"/>
        <v>0</v>
      </c>
      <c r="F288" s="22">
        <v>0</v>
      </c>
      <c r="G288" s="22">
        <v>1700</v>
      </c>
      <c r="H288" s="22">
        <f t="shared" si="39"/>
        <v>1700</v>
      </c>
    </row>
    <row r="289" spans="1:8">
      <c r="A289" s="7">
        <v>216012</v>
      </c>
      <c r="B289" s="8" t="s">
        <v>150</v>
      </c>
      <c r="C289" s="21">
        <v>0</v>
      </c>
      <c r="D289" s="21">
        <v>19669</v>
      </c>
      <c r="E289" s="21">
        <f t="shared" si="38"/>
        <v>6097.39</v>
      </c>
      <c r="F289" s="22">
        <v>0</v>
      </c>
      <c r="G289" s="22">
        <v>3129.51</v>
      </c>
      <c r="H289" s="22">
        <f t="shared" si="39"/>
        <v>28895.9</v>
      </c>
    </row>
    <row r="290" spans="1:8">
      <c r="A290" s="7">
        <v>870101</v>
      </c>
      <c r="B290" s="8" t="s">
        <v>151</v>
      </c>
      <c r="C290" s="21">
        <v>0</v>
      </c>
      <c r="D290" s="21">
        <v>0</v>
      </c>
      <c r="E290" s="21">
        <f t="shared" si="38"/>
        <v>0</v>
      </c>
      <c r="F290" s="22">
        <v>0</v>
      </c>
      <c r="G290" s="22">
        <v>847810</v>
      </c>
      <c r="H290" s="22">
        <f t="shared" si="39"/>
        <v>847810</v>
      </c>
    </row>
    <row r="291" spans="1:8">
      <c r="A291" s="7">
        <v>870102</v>
      </c>
      <c r="B291" s="8" t="s">
        <v>152</v>
      </c>
      <c r="C291" s="21">
        <v>0</v>
      </c>
      <c r="D291" s="21">
        <v>0</v>
      </c>
      <c r="E291" s="21">
        <f t="shared" si="38"/>
        <v>0</v>
      </c>
      <c r="F291" s="22">
        <v>0</v>
      </c>
      <c r="G291" s="22">
        <v>100000</v>
      </c>
      <c r="H291" s="22">
        <f t="shared" si="39"/>
        <v>100000</v>
      </c>
    </row>
    <row r="292" spans="1:8">
      <c r="A292" s="7" t="s">
        <v>348</v>
      </c>
      <c r="C292" s="21"/>
      <c r="D292" s="22"/>
      <c r="E292" s="22" t="s">
        <v>297</v>
      </c>
      <c r="F292" s="22"/>
      <c r="G292" s="22"/>
      <c r="H292" s="22"/>
    </row>
    <row r="293" spans="1:8">
      <c r="B293" s="8" t="s">
        <v>144</v>
      </c>
      <c r="C293" s="24">
        <f t="shared" ref="C293:H293" si="40">SUM(C282:C292)</f>
        <v>0</v>
      </c>
      <c r="D293" s="24">
        <f t="shared" si="40"/>
        <v>2188594.04</v>
      </c>
      <c r="E293" s="24">
        <f t="shared" si="40"/>
        <v>678464.15240000002</v>
      </c>
      <c r="F293" s="24">
        <f t="shared" si="40"/>
        <v>0</v>
      </c>
      <c r="G293" s="24">
        <f t="shared" si="40"/>
        <v>1499116</v>
      </c>
      <c r="H293" s="24">
        <f t="shared" si="40"/>
        <v>4366174.1924000001</v>
      </c>
    </row>
    <row r="294" spans="1:8">
      <c r="A294" s="7" t="s">
        <v>348</v>
      </c>
      <c r="C294" s="21"/>
      <c r="D294" s="22"/>
      <c r="E294" s="22"/>
      <c r="F294" s="22"/>
      <c r="G294" s="22"/>
      <c r="H294" s="22"/>
    </row>
    <row r="295" spans="1:8">
      <c r="A295" s="5"/>
      <c r="B295" s="19" t="s">
        <v>308</v>
      </c>
      <c r="C295" s="21"/>
      <c r="D295" s="22"/>
      <c r="E295" s="22"/>
      <c r="F295" s="22"/>
      <c r="G295" s="22"/>
      <c r="H295" s="22"/>
    </row>
    <row r="296" spans="1:8">
      <c r="A296" s="7">
        <v>210107</v>
      </c>
      <c r="B296" s="8" t="s">
        <v>153</v>
      </c>
      <c r="C296" s="21">
        <v>0</v>
      </c>
      <c r="D296" s="22">
        <v>0</v>
      </c>
      <c r="E296" s="22">
        <f t="shared" ref="E296:E311" si="41">SUM(C296:D296)*0.31</f>
        <v>0</v>
      </c>
      <c r="F296" s="22">
        <v>0</v>
      </c>
      <c r="G296" s="22">
        <v>60793</v>
      </c>
      <c r="H296" s="22">
        <f t="shared" ref="H296:H316" si="42">SUM(C296:G296)</f>
        <v>60793</v>
      </c>
    </row>
    <row r="297" spans="1:8">
      <c r="A297" s="7">
        <v>215018</v>
      </c>
      <c r="B297" s="8" t="s">
        <v>127</v>
      </c>
      <c r="C297" s="21">
        <v>0</v>
      </c>
      <c r="D297" s="22">
        <v>0</v>
      </c>
      <c r="E297" s="22">
        <f t="shared" si="41"/>
        <v>0</v>
      </c>
      <c r="F297" s="22">
        <v>0</v>
      </c>
      <c r="G297" s="22">
        <v>35135</v>
      </c>
      <c r="H297" s="22">
        <f t="shared" si="42"/>
        <v>35135</v>
      </c>
    </row>
    <row r="298" spans="1:8">
      <c r="A298" s="7">
        <v>219000</v>
      </c>
      <c r="B298" s="8" t="s">
        <v>353</v>
      </c>
      <c r="C298" s="21">
        <v>1293615</v>
      </c>
      <c r="D298" s="22">
        <v>46500</v>
      </c>
      <c r="E298" s="22">
        <f t="shared" si="41"/>
        <v>415435.65</v>
      </c>
      <c r="F298" s="22">
        <v>0</v>
      </c>
      <c r="G298" s="22">
        <v>0</v>
      </c>
      <c r="H298" s="22">
        <f t="shared" si="42"/>
        <v>1755550.65</v>
      </c>
    </row>
    <row r="299" spans="1:8">
      <c r="A299" s="7">
        <v>219000</v>
      </c>
      <c r="B299" s="8" t="s">
        <v>0</v>
      </c>
      <c r="C299" s="21">
        <v>79999.990000000005</v>
      </c>
      <c r="D299" s="22">
        <v>0</v>
      </c>
      <c r="E299" s="22">
        <f t="shared" si="41"/>
        <v>24799.996900000002</v>
      </c>
      <c r="F299" s="22">
        <v>0</v>
      </c>
      <c r="G299" s="22">
        <v>33790</v>
      </c>
      <c r="H299" s="22">
        <f t="shared" si="42"/>
        <v>138589.98690000002</v>
      </c>
    </row>
    <row r="300" spans="1:8">
      <c r="A300" s="7">
        <v>219001</v>
      </c>
      <c r="B300" s="8" t="s">
        <v>111</v>
      </c>
      <c r="C300" s="21">
        <v>0</v>
      </c>
      <c r="D300" s="22">
        <v>0</v>
      </c>
      <c r="E300" s="22">
        <f t="shared" si="41"/>
        <v>0</v>
      </c>
      <c r="F300" s="22">
        <v>0</v>
      </c>
      <c r="G300" s="22">
        <v>14128</v>
      </c>
      <c r="H300" s="22">
        <f t="shared" si="42"/>
        <v>14128</v>
      </c>
    </row>
    <row r="301" spans="1:8">
      <c r="A301" s="7">
        <v>219002</v>
      </c>
      <c r="B301" s="8" t="s">
        <v>112</v>
      </c>
      <c r="C301" s="21">
        <v>0</v>
      </c>
      <c r="D301" s="22">
        <v>0</v>
      </c>
      <c r="E301" s="22">
        <f t="shared" si="41"/>
        <v>0</v>
      </c>
      <c r="F301" s="22">
        <v>0</v>
      </c>
      <c r="G301" s="22">
        <v>0</v>
      </c>
      <c r="H301" s="22">
        <f t="shared" si="42"/>
        <v>0</v>
      </c>
    </row>
    <row r="302" spans="1:8">
      <c r="A302" s="7">
        <v>219003</v>
      </c>
      <c r="B302" s="8" t="s">
        <v>113</v>
      </c>
      <c r="C302" s="21">
        <v>0</v>
      </c>
      <c r="D302" s="22">
        <v>0</v>
      </c>
      <c r="E302" s="22">
        <f t="shared" si="41"/>
        <v>0</v>
      </c>
      <c r="F302" s="22">
        <v>0</v>
      </c>
      <c r="G302" s="22">
        <v>13</v>
      </c>
      <c r="H302" s="22">
        <f t="shared" si="42"/>
        <v>13</v>
      </c>
    </row>
    <row r="303" spans="1:8">
      <c r="A303" s="7">
        <v>219004</v>
      </c>
      <c r="B303" s="8" t="s">
        <v>114</v>
      </c>
      <c r="C303" s="21">
        <v>0</v>
      </c>
      <c r="D303" s="22">
        <v>0</v>
      </c>
      <c r="E303" s="22">
        <f t="shared" si="41"/>
        <v>0</v>
      </c>
      <c r="F303" s="22">
        <v>0</v>
      </c>
      <c r="G303" s="22">
        <v>0</v>
      </c>
      <c r="H303" s="22">
        <f t="shared" si="42"/>
        <v>0</v>
      </c>
    </row>
    <row r="304" spans="1:8">
      <c r="A304" s="7">
        <v>219005</v>
      </c>
      <c r="B304" s="8" t="s">
        <v>115</v>
      </c>
      <c r="C304" s="21">
        <v>0</v>
      </c>
      <c r="D304" s="22">
        <v>0</v>
      </c>
      <c r="E304" s="22">
        <f t="shared" si="41"/>
        <v>0</v>
      </c>
      <c r="F304" s="22">
        <v>0</v>
      </c>
      <c r="G304" s="22">
        <v>0</v>
      </c>
      <c r="H304" s="22">
        <f t="shared" si="42"/>
        <v>0</v>
      </c>
    </row>
    <row r="305" spans="1:8">
      <c r="A305" s="7">
        <v>219006</v>
      </c>
      <c r="B305" s="8" t="s">
        <v>116</v>
      </c>
      <c r="C305" s="21">
        <v>0</v>
      </c>
      <c r="D305" s="22">
        <v>0</v>
      </c>
      <c r="E305" s="22">
        <f t="shared" si="41"/>
        <v>0</v>
      </c>
      <c r="F305" s="22">
        <v>0</v>
      </c>
      <c r="G305" s="22">
        <v>0</v>
      </c>
      <c r="H305" s="22">
        <f t="shared" si="42"/>
        <v>0</v>
      </c>
    </row>
    <row r="306" spans="1:8">
      <c r="A306" s="7">
        <v>219007</v>
      </c>
      <c r="B306" s="8" t="s">
        <v>117</v>
      </c>
      <c r="C306" s="21">
        <v>0</v>
      </c>
      <c r="D306" s="22">
        <v>0</v>
      </c>
      <c r="E306" s="22">
        <f t="shared" si="41"/>
        <v>0</v>
      </c>
      <c r="F306" s="22">
        <v>0</v>
      </c>
      <c r="G306" s="22">
        <v>10</v>
      </c>
      <c r="H306" s="22">
        <f t="shared" si="42"/>
        <v>10</v>
      </c>
    </row>
    <row r="307" spans="1:8">
      <c r="A307" s="7">
        <v>219008</v>
      </c>
      <c r="B307" s="8" t="s">
        <v>118</v>
      </c>
      <c r="C307" s="21">
        <v>0</v>
      </c>
      <c r="D307" s="22">
        <v>0</v>
      </c>
      <c r="E307" s="22">
        <f t="shared" si="41"/>
        <v>0</v>
      </c>
      <c r="F307" s="22">
        <v>0</v>
      </c>
      <c r="G307" s="22">
        <v>0</v>
      </c>
      <c r="H307" s="22">
        <f t="shared" si="42"/>
        <v>0</v>
      </c>
    </row>
    <row r="308" spans="1:8">
      <c r="A308" s="7">
        <v>219009</v>
      </c>
      <c r="B308" s="8" t="s">
        <v>119</v>
      </c>
      <c r="C308" s="21">
        <v>0</v>
      </c>
      <c r="D308" s="22">
        <v>0</v>
      </c>
      <c r="E308" s="22">
        <f t="shared" si="41"/>
        <v>0</v>
      </c>
      <c r="F308" s="22">
        <v>0</v>
      </c>
      <c r="G308" s="22">
        <v>0</v>
      </c>
      <c r="H308" s="22">
        <f t="shared" si="42"/>
        <v>0</v>
      </c>
    </row>
    <row r="309" spans="1:8">
      <c r="A309" s="7">
        <v>219011</v>
      </c>
      <c r="B309" s="8" t="s">
        <v>120</v>
      </c>
      <c r="C309" s="21">
        <v>0</v>
      </c>
      <c r="D309" s="22">
        <v>0</v>
      </c>
      <c r="E309" s="22">
        <f t="shared" si="41"/>
        <v>0</v>
      </c>
      <c r="F309" s="22">
        <v>0</v>
      </c>
      <c r="G309" s="22">
        <v>0</v>
      </c>
      <c r="H309" s="22">
        <f t="shared" si="42"/>
        <v>0</v>
      </c>
    </row>
    <row r="310" spans="1:8">
      <c r="A310" s="7">
        <v>219012</v>
      </c>
      <c r="B310" s="8" t="s">
        <v>66</v>
      </c>
      <c r="C310" s="21">
        <v>0</v>
      </c>
      <c r="D310" s="22">
        <v>0</v>
      </c>
      <c r="E310" s="22">
        <f t="shared" si="41"/>
        <v>0</v>
      </c>
      <c r="F310" s="22">
        <v>0</v>
      </c>
      <c r="G310" s="22">
        <v>0</v>
      </c>
      <c r="H310" s="22">
        <f t="shared" si="42"/>
        <v>0</v>
      </c>
    </row>
    <row r="311" spans="1:8">
      <c r="A311" s="7">
        <v>219020</v>
      </c>
      <c r="B311" s="8" t="s">
        <v>121</v>
      </c>
      <c r="C311" s="21">
        <v>0</v>
      </c>
      <c r="D311" s="22">
        <v>0</v>
      </c>
      <c r="E311" s="22">
        <f t="shared" si="41"/>
        <v>0</v>
      </c>
      <c r="F311" s="22">
        <v>0</v>
      </c>
      <c r="G311" s="22">
        <v>10952</v>
      </c>
      <c r="H311" s="22">
        <f t="shared" si="42"/>
        <v>10952</v>
      </c>
    </row>
    <row r="312" spans="1:8">
      <c r="A312" s="7">
        <v>219021</v>
      </c>
      <c r="B312" s="8" t="s">
        <v>122</v>
      </c>
      <c r="C312" s="21">
        <v>0</v>
      </c>
      <c r="D312" s="22">
        <v>0</v>
      </c>
      <c r="E312" s="22">
        <f>SUM(C312:D312)*0.31</f>
        <v>0</v>
      </c>
      <c r="F312" s="22">
        <v>0</v>
      </c>
      <c r="G312" s="22">
        <v>3</v>
      </c>
      <c r="H312" s="22">
        <f t="shared" si="42"/>
        <v>3</v>
      </c>
    </row>
    <row r="313" spans="1:8">
      <c r="A313" s="7">
        <v>219022</v>
      </c>
      <c r="B313" s="8" t="s">
        <v>123</v>
      </c>
      <c r="C313" s="21">
        <v>0</v>
      </c>
      <c r="D313" s="22">
        <v>0</v>
      </c>
      <c r="E313" s="22">
        <f t="shared" ref="E313:E318" si="43">SUM(C313:D313)*0.31</f>
        <v>0</v>
      </c>
      <c r="F313" s="22">
        <v>0</v>
      </c>
      <c r="G313" s="22">
        <v>2</v>
      </c>
      <c r="H313" s="22">
        <f t="shared" si="42"/>
        <v>2</v>
      </c>
    </row>
    <row r="314" spans="1:8">
      <c r="A314" s="7">
        <v>219024</v>
      </c>
      <c r="B314" s="8" t="s">
        <v>124</v>
      </c>
      <c r="C314" s="21">
        <v>0</v>
      </c>
      <c r="D314" s="22">
        <v>0</v>
      </c>
      <c r="E314" s="22">
        <f t="shared" si="43"/>
        <v>0</v>
      </c>
      <c r="F314" s="22">
        <v>0</v>
      </c>
      <c r="G314" s="22">
        <v>23</v>
      </c>
      <c r="H314" s="22">
        <f t="shared" si="42"/>
        <v>23</v>
      </c>
    </row>
    <row r="315" spans="1:8">
      <c r="A315" s="7">
        <v>219025</v>
      </c>
      <c r="B315" s="8" t="s">
        <v>125</v>
      </c>
      <c r="C315" s="21">
        <v>0</v>
      </c>
      <c r="D315" s="22">
        <v>0</v>
      </c>
      <c r="E315" s="22">
        <f t="shared" si="43"/>
        <v>0</v>
      </c>
      <c r="F315" s="22">
        <v>0</v>
      </c>
      <c r="G315" s="22">
        <v>0</v>
      </c>
      <c r="H315" s="22">
        <f t="shared" si="42"/>
        <v>0</v>
      </c>
    </row>
    <row r="316" spans="1:8">
      <c r="A316" s="7">
        <v>219027</v>
      </c>
      <c r="B316" s="8" t="s">
        <v>126</v>
      </c>
      <c r="C316" s="21">
        <v>0</v>
      </c>
      <c r="D316" s="22">
        <v>0</v>
      </c>
      <c r="E316" s="22">
        <f t="shared" si="43"/>
        <v>0</v>
      </c>
      <c r="F316" s="22">
        <v>0</v>
      </c>
      <c r="G316" s="22">
        <v>0</v>
      </c>
      <c r="H316" s="22">
        <f t="shared" si="42"/>
        <v>0</v>
      </c>
    </row>
    <row r="317" spans="1:8">
      <c r="A317" s="7">
        <v>219029</v>
      </c>
      <c r="B317" s="8" t="s">
        <v>67</v>
      </c>
      <c r="C317" s="21">
        <v>0</v>
      </c>
      <c r="D317" s="22">
        <v>0</v>
      </c>
      <c r="E317" s="22">
        <f t="shared" si="43"/>
        <v>0</v>
      </c>
      <c r="F317" s="22">
        <v>0</v>
      </c>
      <c r="G317" s="22">
        <v>0</v>
      </c>
      <c r="H317" s="22">
        <f>SUM(C317:G317)</f>
        <v>0</v>
      </c>
    </row>
    <row r="318" spans="1:8">
      <c r="A318" s="7">
        <v>219031</v>
      </c>
      <c r="B318" s="8" t="s">
        <v>154</v>
      </c>
      <c r="C318" s="21">
        <v>0</v>
      </c>
      <c r="D318" s="22">
        <v>0</v>
      </c>
      <c r="E318" s="22">
        <f t="shared" si="43"/>
        <v>0</v>
      </c>
      <c r="F318" s="22">
        <v>0</v>
      </c>
      <c r="G318" s="22">
        <v>236.49</v>
      </c>
      <c r="H318" s="22">
        <f>SUM(C318:G318)</f>
        <v>236.49</v>
      </c>
    </row>
    <row r="319" spans="1:8">
      <c r="A319" s="7" t="s">
        <v>348</v>
      </c>
      <c r="C319" s="21"/>
      <c r="D319" s="22"/>
      <c r="E319" s="22" t="s">
        <v>297</v>
      </c>
      <c r="F319" s="22"/>
      <c r="G319" s="22"/>
      <c r="H319" s="22"/>
    </row>
    <row r="320" spans="1:8">
      <c r="B320" s="8" t="s">
        <v>309</v>
      </c>
      <c r="C320" s="24">
        <f t="shared" ref="C320:H320" si="44">SUM(C296:C319)</f>
        <v>1373614.99</v>
      </c>
      <c r="D320" s="24">
        <f t="shared" si="44"/>
        <v>46500</v>
      </c>
      <c r="E320" s="24">
        <f t="shared" si="44"/>
        <v>440235.64690000005</v>
      </c>
      <c r="F320" s="24">
        <f t="shared" si="44"/>
        <v>0</v>
      </c>
      <c r="G320" s="24">
        <f t="shared" si="44"/>
        <v>155085.49</v>
      </c>
      <c r="H320" s="24">
        <f t="shared" si="44"/>
        <v>2015436.1268999998</v>
      </c>
    </row>
    <row r="321" spans="1:9">
      <c r="A321" s="7" t="s">
        <v>348</v>
      </c>
      <c r="C321" s="22"/>
      <c r="D321" s="22" t="s">
        <v>347</v>
      </c>
      <c r="E321" s="22"/>
      <c r="F321" s="22"/>
      <c r="G321" s="22"/>
      <c r="H321" s="22"/>
    </row>
    <row r="322" spans="1:9">
      <c r="A322" s="5"/>
      <c r="B322" s="19" t="s">
        <v>339</v>
      </c>
      <c r="C322" s="21"/>
      <c r="D322" s="22"/>
      <c r="E322" s="22"/>
      <c r="F322" s="22"/>
      <c r="G322" s="22"/>
      <c r="H322" s="22"/>
    </row>
    <row r="323" spans="1:9">
      <c r="A323" s="7">
        <v>214010</v>
      </c>
      <c r="B323" s="8" t="s">
        <v>285</v>
      </c>
      <c r="C323" s="21">
        <v>38824.99</v>
      </c>
      <c r="D323" s="22">
        <v>74571.899999999994</v>
      </c>
      <c r="E323" s="22">
        <f t="shared" ref="E323:E341" si="45">SUM(C323:D323)*0.31</f>
        <v>35153.035899999995</v>
      </c>
      <c r="F323" s="22">
        <v>0</v>
      </c>
      <c r="G323" s="22">
        <v>298213</v>
      </c>
      <c r="H323" s="22">
        <f t="shared" ref="H323:H341" si="46">SUM(C323:G323)</f>
        <v>446762.92589999997</v>
      </c>
    </row>
    <row r="324" spans="1:9">
      <c r="A324" s="7">
        <v>214012</v>
      </c>
      <c r="B324" s="8" t="s">
        <v>220</v>
      </c>
      <c r="C324" s="33">
        <v>0</v>
      </c>
      <c r="D324" s="22">
        <v>86916</v>
      </c>
      <c r="E324" s="22">
        <f t="shared" si="45"/>
        <v>26943.96</v>
      </c>
      <c r="F324" s="22">
        <v>0</v>
      </c>
      <c r="G324" s="22">
        <v>12500</v>
      </c>
      <c r="H324" s="22">
        <f t="shared" si="46"/>
        <v>126359.95999999999</v>
      </c>
    </row>
    <row r="325" spans="1:9">
      <c r="A325" s="7">
        <v>215004</v>
      </c>
      <c r="B325" s="8" t="s">
        <v>54</v>
      </c>
      <c r="C325" s="21">
        <v>135000</v>
      </c>
      <c r="D325" s="22">
        <v>40319</v>
      </c>
      <c r="E325" s="22">
        <f t="shared" si="45"/>
        <v>54348.89</v>
      </c>
      <c r="F325" s="22">
        <v>0</v>
      </c>
      <c r="G325" s="22">
        <v>34370</v>
      </c>
      <c r="H325" s="22">
        <f t="shared" si="46"/>
        <v>264037.89</v>
      </c>
    </row>
    <row r="326" spans="1:9">
      <c r="A326" s="7">
        <v>215022</v>
      </c>
      <c r="B326" s="8" t="s">
        <v>55</v>
      </c>
      <c r="C326" s="21">
        <v>0</v>
      </c>
      <c r="D326" s="22">
        <f>6000+2000</f>
        <v>8000</v>
      </c>
      <c r="E326" s="22">
        <f t="shared" si="45"/>
        <v>2480</v>
      </c>
      <c r="F326" s="22">
        <v>0</v>
      </c>
      <c r="G326" s="22">
        <v>4667</v>
      </c>
      <c r="H326" s="22">
        <f t="shared" si="46"/>
        <v>15147</v>
      </c>
    </row>
    <row r="327" spans="1:9">
      <c r="A327" s="7">
        <v>215029</v>
      </c>
      <c r="B327" s="8" t="s">
        <v>286</v>
      </c>
      <c r="C327" s="21">
        <v>0</v>
      </c>
      <c r="D327" s="22">
        <v>0</v>
      </c>
      <c r="E327" s="22">
        <f t="shared" si="45"/>
        <v>0</v>
      </c>
      <c r="F327" s="22">
        <v>0</v>
      </c>
      <c r="G327" s="22">
        <v>970</v>
      </c>
      <c r="H327" s="22">
        <f t="shared" si="46"/>
        <v>970</v>
      </c>
    </row>
    <row r="328" spans="1:9">
      <c r="A328" s="7">
        <v>215034</v>
      </c>
      <c r="B328" s="8" t="s">
        <v>287</v>
      </c>
      <c r="C328" s="21">
        <v>0</v>
      </c>
      <c r="D328" s="22">
        <v>0</v>
      </c>
      <c r="E328" s="22">
        <f t="shared" si="45"/>
        <v>0</v>
      </c>
      <c r="F328" s="22">
        <v>0</v>
      </c>
      <c r="G328" s="22">
        <v>30000</v>
      </c>
      <c r="H328" s="22">
        <f t="shared" si="46"/>
        <v>30000</v>
      </c>
    </row>
    <row r="329" spans="1:9">
      <c r="A329" s="7">
        <v>215037</v>
      </c>
      <c r="B329" s="8" t="s">
        <v>288</v>
      </c>
      <c r="C329" s="21">
        <v>0</v>
      </c>
      <c r="D329" s="22">
        <v>0</v>
      </c>
      <c r="E329" s="22">
        <f t="shared" si="45"/>
        <v>0</v>
      </c>
      <c r="F329" s="22">
        <v>0</v>
      </c>
      <c r="G329" s="22">
        <v>26263</v>
      </c>
      <c r="H329" s="22">
        <f t="shared" si="46"/>
        <v>26263</v>
      </c>
    </row>
    <row r="330" spans="1:9">
      <c r="A330" s="7">
        <v>215055</v>
      </c>
      <c r="B330" s="8" t="s">
        <v>221</v>
      </c>
      <c r="C330" s="21">
        <v>0</v>
      </c>
      <c r="D330" s="22">
        <v>0</v>
      </c>
      <c r="E330" s="22">
        <f t="shared" si="45"/>
        <v>0</v>
      </c>
      <c r="F330" s="22">
        <v>0</v>
      </c>
      <c r="G330" s="22">
        <v>2425</v>
      </c>
      <c r="H330" s="22">
        <f t="shared" si="46"/>
        <v>2425</v>
      </c>
    </row>
    <row r="331" spans="1:9">
      <c r="A331" s="7">
        <v>215067</v>
      </c>
      <c r="B331" s="8" t="s">
        <v>9</v>
      </c>
      <c r="C331" s="21">
        <v>136500</v>
      </c>
      <c r="D331" s="22">
        <v>75690.559999999998</v>
      </c>
      <c r="E331" s="22">
        <f t="shared" si="45"/>
        <v>65779.073600000003</v>
      </c>
      <c r="F331" s="22">
        <v>0</v>
      </c>
      <c r="G331" s="22">
        <f>20000+3500</f>
        <v>23500</v>
      </c>
      <c r="H331" s="22">
        <f t="shared" si="46"/>
        <v>301469.6336</v>
      </c>
    </row>
    <row r="332" spans="1:9">
      <c r="A332" s="7">
        <v>215078</v>
      </c>
      <c r="B332" s="8" t="s">
        <v>289</v>
      </c>
      <c r="C332" s="21">
        <v>0</v>
      </c>
      <c r="D332" s="22">
        <v>0</v>
      </c>
      <c r="E332" s="22">
        <f t="shared" si="45"/>
        <v>0</v>
      </c>
      <c r="F332" s="22">
        <v>0</v>
      </c>
      <c r="G332" s="22">
        <v>20000</v>
      </c>
      <c r="H332" s="22">
        <f t="shared" si="46"/>
        <v>20000</v>
      </c>
    </row>
    <row r="333" spans="1:9">
      <c r="A333" s="7">
        <v>216000</v>
      </c>
      <c r="B333" s="8" t="s">
        <v>290</v>
      </c>
      <c r="C333" s="21">
        <v>0</v>
      </c>
      <c r="D333" s="22">
        <v>0</v>
      </c>
      <c r="E333" s="22">
        <f t="shared" si="45"/>
        <v>0</v>
      </c>
      <c r="F333" s="22">
        <v>0</v>
      </c>
      <c r="G333" s="22">
        <v>29000</v>
      </c>
      <c r="H333" s="22">
        <f t="shared" si="46"/>
        <v>29000</v>
      </c>
    </row>
    <row r="334" spans="1:9">
      <c r="A334" s="7">
        <v>216004</v>
      </c>
      <c r="B334" s="8" t="s">
        <v>291</v>
      </c>
      <c r="C334" s="21">
        <v>0</v>
      </c>
      <c r="D334" s="22">
        <v>0</v>
      </c>
      <c r="E334" s="22">
        <f t="shared" si="45"/>
        <v>0</v>
      </c>
      <c r="F334" s="22">
        <v>0</v>
      </c>
      <c r="G334" s="22">
        <v>32115</v>
      </c>
      <c r="H334" s="22">
        <f t="shared" si="46"/>
        <v>32115</v>
      </c>
    </row>
    <row r="335" spans="1:9">
      <c r="A335" s="7">
        <v>216007</v>
      </c>
      <c r="B335" s="8" t="s">
        <v>292</v>
      </c>
      <c r="C335" s="21">
        <v>0</v>
      </c>
      <c r="D335" s="22">
        <v>603680.53</v>
      </c>
      <c r="E335" s="22">
        <f t="shared" si="45"/>
        <v>187140.96430000002</v>
      </c>
      <c r="F335" s="22">
        <v>0</v>
      </c>
      <c r="G335" s="22">
        <v>57765.49</v>
      </c>
      <c r="H335" s="22">
        <f t="shared" si="46"/>
        <v>848586.98430000001</v>
      </c>
    </row>
    <row r="336" spans="1:9">
      <c r="A336" s="7">
        <v>216008</v>
      </c>
      <c r="B336" s="8" t="s">
        <v>293</v>
      </c>
      <c r="C336" s="21">
        <v>85501</v>
      </c>
      <c r="D336" s="22">
        <f>247281.92-49590</f>
        <v>197691.92</v>
      </c>
      <c r="E336" s="22">
        <f t="shared" si="45"/>
        <v>87789.805200000017</v>
      </c>
      <c r="F336" s="22">
        <v>0</v>
      </c>
      <c r="G336" s="22">
        <v>49119</v>
      </c>
      <c r="H336" s="22">
        <f t="shared" si="46"/>
        <v>420101.72520000004</v>
      </c>
      <c r="I336" s="34"/>
    </row>
    <row r="337" spans="1:8">
      <c r="A337" s="7">
        <v>216013</v>
      </c>
      <c r="B337" s="8" t="s">
        <v>294</v>
      </c>
      <c r="C337" s="21">
        <v>80000</v>
      </c>
      <c r="D337" s="22">
        <v>0</v>
      </c>
      <c r="E337" s="22">
        <f t="shared" si="45"/>
        <v>24800</v>
      </c>
      <c r="F337" s="22">
        <v>0</v>
      </c>
      <c r="G337" s="22">
        <v>28800</v>
      </c>
      <c r="H337" s="22">
        <f t="shared" si="46"/>
        <v>133600</v>
      </c>
    </row>
    <row r="338" spans="1:8">
      <c r="A338" s="7">
        <v>216020</v>
      </c>
      <c r="B338" s="8" t="s">
        <v>295</v>
      </c>
      <c r="C338" s="21">
        <v>0</v>
      </c>
      <c r="D338" s="22">
        <v>0</v>
      </c>
      <c r="E338" s="22">
        <f t="shared" si="45"/>
        <v>0</v>
      </c>
      <c r="F338" s="22">
        <v>0</v>
      </c>
      <c r="G338" s="22">
        <v>10000</v>
      </c>
      <c r="H338" s="22">
        <f t="shared" si="46"/>
        <v>10000</v>
      </c>
    </row>
    <row r="339" spans="1:8">
      <c r="A339" s="7">
        <v>216022</v>
      </c>
      <c r="B339" s="8" t="s">
        <v>296</v>
      </c>
      <c r="C339" s="21">
        <v>0</v>
      </c>
      <c r="D339" s="22">
        <v>49590</v>
      </c>
      <c r="E339" s="22">
        <f t="shared" si="45"/>
        <v>15372.9</v>
      </c>
      <c r="F339" s="22">
        <v>0</v>
      </c>
      <c r="G339" s="22">
        <v>3000</v>
      </c>
      <c r="H339" s="22">
        <f t="shared" si="46"/>
        <v>67962.899999999994</v>
      </c>
    </row>
    <row r="340" spans="1:8">
      <c r="A340" s="7">
        <v>216023</v>
      </c>
      <c r="B340" s="8" t="s">
        <v>145</v>
      </c>
      <c r="C340" s="21">
        <v>0</v>
      </c>
      <c r="D340" s="22">
        <v>0</v>
      </c>
      <c r="E340" s="22">
        <f t="shared" si="45"/>
        <v>0</v>
      </c>
      <c r="F340" s="22">
        <v>0</v>
      </c>
      <c r="G340" s="22">
        <v>5000</v>
      </c>
      <c r="H340" s="22">
        <f t="shared" si="46"/>
        <v>5000</v>
      </c>
    </row>
    <row r="341" spans="1:8">
      <c r="A341" s="7">
        <v>216095</v>
      </c>
      <c r="B341" s="8" t="s">
        <v>146</v>
      </c>
      <c r="C341" s="21">
        <v>0</v>
      </c>
      <c r="D341" s="22">
        <v>0</v>
      </c>
      <c r="E341" s="22">
        <f t="shared" si="45"/>
        <v>0</v>
      </c>
      <c r="F341" s="22">
        <v>0</v>
      </c>
      <c r="G341" s="22">
        <f>16335-5000</f>
        <v>11335</v>
      </c>
      <c r="H341" s="22">
        <f t="shared" si="46"/>
        <v>11335</v>
      </c>
    </row>
    <row r="342" spans="1:8">
      <c r="A342" s="7" t="s">
        <v>348</v>
      </c>
      <c r="C342" s="21"/>
      <c r="D342" s="22"/>
      <c r="E342" s="22" t="s">
        <v>297</v>
      </c>
      <c r="F342" s="22"/>
      <c r="G342" s="22"/>
      <c r="H342" s="22"/>
    </row>
    <row r="343" spans="1:8">
      <c r="B343" s="8" t="s">
        <v>336</v>
      </c>
      <c r="C343" s="24">
        <f t="shared" ref="C343:H343" si="47">SUM(C322:C342)</f>
        <v>475825.99</v>
      </c>
      <c r="D343" s="24">
        <f t="shared" si="47"/>
        <v>1136459.9099999999</v>
      </c>
      <c r="E343" s="24">
        <f t="shared" si="47"/>
        <v>499808.62900000002</v>
      </c>
      <c r="F343" s="24">
        <f t="shared" si="47"/>
        <v>0</v>
      </c>
      <c r="G343" s="24">
        <f t="shared" si="47"/>
        <v>679042.49</v>
      </c>
      <c r="H343" s="24">
        <f t="shared" si="47"/>
        <v>2791137.0190000003</v>
      </c>
    </row>
    <row r="344" spans="1:8">
      <c r="A344" s="7" t="s">
        <v>348</v>
      </c>
      <c r="C344" s="21"/>
      <c r="D344" s="22"/>
      <c r="E344" s="22"/>
      <c r="F344" s="22"/>
      <c r="G344" s="22"/>
      <c r="H344" s="22"/>
    </row>
    <row r="345" spans="1:8">
      <c r="A345" s="5"/>
      <c r="B345" s="19" t="s">
        <v>314</v>
      </c>
      <c r="C345" s="21"/>
      <c r="D345" s="22"/>
      <c r="E345" s="22"/>
      <c r="F345" s="22"/>
      <c r="G345" s="22"/>
      <c r="H345" s="22"/>
    </row>
    <row r="346" spans="1:8">
      <c r="A346" s="7">
        <v>111131</v>
      </c>
      <c r="B346" s="8" t="s">
        <v>266</v>
      </c>
      <c r="C346" s="21">
        <v>0</v>
      </c>
      <c r="D346" s="22">
        <v>0</v>
      </c>
      <c r="E346" s="22">
        <f t="shared" ref="E346:E383" si="48">SUM(C346:D346)*0.31</f>
        <v>0</v>
      </c>
      <c r="F346" s="22">
        <v>0</v>
      </c>
      <c r="G346" s="22">
        <v>331896</v>
      </c>
      <c r="H346" s="22">
        <f t="shared" ref="H346:H383" si="49">SUM(C346:G346)</f>
        <v>331896</v>
      </c>
    </row>
    <row r="347" spans="1:8">
      <c r="A347" s="7">
        <v>111140</v>
      </c>
      <c r="B347" s="8" t="s">
        <v>1</v>
      </c>
      <c r="C347" s="21">
        <v>0</v>
      </c>
      <c r="D347" s="22">
        <v>0</v>
      </c>
      <c r="E347" s="22">
        <f t="shared" si="48"/>
        <v>0</v>
      </c>
      <c r="F347" s="22">
        <v>0</v>
      </c>
      <c r="G347" s="22">
        <v>100000</v>
      </c>
      <c r="H347" s="22">
        <f t="shared" si="49"/>
        <v>100000</v>
      </c>
    </row>
    <row r="348" spans="1:8">
      <c r="A348" s="7">
        <v>210041</v>
      </c>
      <c r="B348" s="8" t="s">
        <v>62</v>
      </c>
      <c r="C348" s="21">
        <v>0</v>
      </c>
      <c r="D348" s="22">
        <v>0</v>
      </c>
      <c r="E348" s="22">
        <f t="shared" si="48"/>
        <v>0</v>
      </c>
      <c r="F348" s="22">
        <v>0</v>
      </c>
      <c r="G348" s="22">
        <v>50000</v>
      </c>
      <c r="H348" s="22">
        <f t="shared" si="49"/>
        <v>50000</v>
      </c>
    </row>
    <row r="349" spans="1:8">
      <c r="A349" s="7">
        <v>214005</v>
      </c>
      <c r="B349" s="8" t="s">
        <v>267</v>
      </c>
      <c r="C349" s="21">
        <v>0</v>
      </c>
      <c r="D349" s="22">
        <v>0</v>
      </c>
      <c r="E349" s="22">
        <f t="shared" si="48"/>
        <v>0</v>
      </c>
      <c r="F349" s="22">
        <v>0</v>
      </c>
      <c r="G349" s="22">
        <v>1902468</v>
      </c>
      <c r="H349" s="22">
        <f t="shared" si="49"/>
        <v>1902468</v>
      </c>
    </row>
    <row r="350" spans="1:8">
      <c r="A350" s="7">
        <v>214018</v>
      </c>
      <c r="B350" s="8" t="s">
        <v>222</v>
      </c>
      <c r="C350" s="21">
        <v>0</v>
      </c>
      <c r="D350" s="22">
        <v>0</v>
      </c>
      <c r="E350" s="22">
        <f t="shared" si="48"/>
        <v>0</v>
      </c>
      <c r="F350" s="22">
        <v>0</v>
      </c>
      <c r="G350" s="22">
        <v>243203.52</v>
      </c>
      <c r="H350" s="22">
        <f t="shared" si="49"/>
        <v>243203.52</v>
      </c>
    </row>
    <row r="351" spans="1:8">
      <c r="A351" s="7">
        <v>215008</v>
      </c>
      <c r="B351" s="8" t="s">
        <v>268</v>
      </c>
      <c r="C351" s="21">
        <v>0</v>
      </c>
      <c r="D351" s="22">
        <v>0</v>
      </c>
      <c r="E351" s="22">
        <f t="shared" si="48"/>
        <v>0</v>
      </c>
      <c r="F351" s="22">
        <v>0</v>
      </c>
      <c r="G351" s="22">
        <v>422800</v>
      </c>
      <c r="H351" s="22">
        <f t="shared" si="49"/>
        <v>422800</v>
      </c>
    </row>
    <row r="352" spans="1:8">
      <c r="A352" s="7">
        <v>215009</v>
      </c>
      <c r="B352" s="8" t="s">
        <v>269</v>
      </c>
      <c r="C352" s="21">
        <v>0</v>
      </c>
      <c r="D352" s="22">
        <v>0</v>
      </c>
      <c r="E352" s="22">
        <f t="shared" si="48"/>
        <v>0</v>
      </c>
      <c r="F352" s="22">
        <v>0</v>
      </c>
      <c r="G352" s="22">
        <v>1021000</v>
      </c>
      <c r="H352" s="22">
        <f t="shared" si="49"/>
        <v>1021000</v>
      </c>
    </row>
    <row r="353" spans="1:8">
      <c r="A353" s="7">
        <v>215015</v>
      </c>
      <c r="B353" s="8" t="s">
        <v>270</v>
      </c>
      <c r="C353" s="21">
        <v>0</v>
      </c>
      <c r="D353" s="22">
        <v>0</v>
      </c>
      <c r="E353" s="22">
        <f t="shared" si="48"/>
        <v>0</v>
      </c>
      <c r="F353" s="22">
        <v>0</v>
      </c>
      <c r="G353" s="22">
        <v>60053</v>
      </c>
      <c r="H353" s="22">
        <f t="shared" si="49"/>
        <v>60053</v>
      </c>
    </row>
    <row r="354" spans="1:8">
      <c r="A354" s="7">
        <v>215021</v>
      </c>
      <c r="B354" s="8" t="s">
        <v>223</v>
      </c>
      <c r="C354" s="21">
        <v>0</v>
      </c>
      <c r="D354" s="22">
        <v>0</v>
      </c>
      <c r="E354" s="22">
        <f t="shared" si="48"/>
        <v>0</v>
      </c>
      <c r="F354" s="22">
        <v>0</v>
      </c>
      <c r="G354" s="22">
        <v>62077</v>
      </c>
      <c r="H354" s="22">
        <f t="shared" si="49"/>
        <v>62077</v>
      </c>
    </row>
    <row r="355" spans="1:8">
      <c r="A355" s="7">
        <v>215063</v>
      </c>
      <c r="B355" s="8" t="s">
        <v>271</v>
      </c>
      <c r="C355" s="21">
        <v>0</v>
      </c>
      <c r="D355" s="22">
        <v>0</v>
      </c>
      <c r="E355" s="22">
        <f t="shared" si="48"/>
        <v>0</v>
      </c>
      <c r="F355" s="22">
        <v>0</v>
      </c>
      <c r="G355" s="22">
        <v>12000</v>
      </c>
      <c r="H355" s="22">
        <f t="shared" si="49"/>
        <v>12000</v>
      </c>
    </row>
    <row r="356" spans="1:8">
      <c r="A356" s="7">
        <v>215082</v>
      </c>
      <c r="B356" s="8" t="s">
        <v>272</v>
      </c>
      <c r="C356" s="21">
        <v>0</v>
      </c>
      <c r="D356" s="22">
        <v>0</v>
      </c>
      <c r="E356" s="22">
        <f t="shared" si="48"/>
        <v>0</v>
      </c>
      <c r="F356" s="22">
        <v>0</v>
      </c>
      <c r="G356" s="22">
        <v>225000</v>
      </c>
      <c r="H356" s="22">
        <f t="shared" si="49"/>
        <v>225000</v>
      </c>
    </row>
    <row r="357" spans="1:8">
      <c r="A357" s="7">
        <v>215085</v>
      </c>
      <c r="B357" s="8" t="s">
        <v>273</v>
      </c>
      <c r="C357" s="21">
        <v>0</v>
      </c>
      <c r="D357" s="22">
        <v>0</v>
      </c>
      <c r="E357" s="22">
        <f t="shared" si="48"/>
        <v>0</v>
      </c>
      <c r="F357" s="22">
        <v>0</v>
      </c>
      <c r="G357" s="22">
        <v>25000</v>
      </c>
      <c r="H357" s="22">
        <f t="shared" si="49"/>
        <v>25000</v>
      </c>
    </row>
    <row r="358" spans="1:8">
      <c r="A358" s="7">
        <v>215128</v>
      </c>
      <c r="B358" s="8" t="s">
        <v>63</v>
      </c>
      <c r="C358" s="21">
        <v>0</v>
      </c>
      <c r="D358" s="22">
        <v>0</v>
      </c>
      <c r="E358" s="22">
        <f t="shared" si="48"/>
        <v>0</v>
      </c>
      <c r="F358" s="22">
        <v>0</v>
      </c>
      <c r="G358" s="22">
        <v>90000</v>
      </c>
      <c r="H358" s="22">
        <f t="shared" si="49"/>
        <v>90000</v>
      </c>
    </row>
    <row r="359" spans="1:8">
      <c r="A359" s="7">
        <v>215202</v>
      </c>
      <c r="B359" s="8" t="s">
        <v>274</v>
      </c>
      <c r="C359" s="21">
        <v>0</v>
      </c>
      <c r="D359" s="22">
        <v>0</v>
      </c>
      <c r="E359" s="22">
        <f t="shared" si="48"/>
        <v>0</v>
      </c>
      <c r="F359" s="22">
        <v>0</v>
      </c>
      <c r="G359" s="22">
        <v>38536</v>
      </c>
      <c r="H359" s="22">
        <f t="shared" si="49"/>
        <v>38536</v>
      </c>
    </row>
    <row r="360" spans="1:8">
      <c r="A360" s="7">
        <v>216003</v>
      </c>
      <c r="B360" s="8" t="s">
        <v>275</v>
      </c>
      <c r="C360" s="21">
        <v>0</v>
      </c>
      <c r="D360" s="22">
        <v>0</v>
      </c>
      <c r="E360" s="22">
        <f t="shared" si="48"/>
        <v>0</v>
      </c>
      <c r="F360" s="22">
        <v>0</v>
      </c>
      <c r="G360" s="22">
        <v>60000</v>
      </c>
      <c r="H360" s="22">
        <f t="shared" si="49"/>
        <v>60000</v>
      </c>
    </row>
    <row r="361" spans="1:8">
      <c r="A361" s="7">
        <v>216009</v>
      </c>
      <c r="B361" s="8" t="s">
        <v>10</v>
      </c>
      <c r="C361" s="21">
        <v>0</v>
      </c>
      <c r="D361" s="22">
        <v>0</v>
      </c>
      <c r="E361" s="22">
        <f t="shared" si="48"/>
        <v>0</v>
      </c>
      <c r="F361" s="22">
        <v>0</v>
      </c>
      <c r="G361" s="22">
        <v>143217</v>
      </c>
      <c r="H361" s="22">
        <f t="shared" si="49"/>
        <v>143217</v>
      </c>
    </row>
    <row r="362" spans="1:8">
      <c r="A362" s="7">
        <v>216029</v>
      </c>
      <c r="B362" s="8" t="s">
        <v>276</v>
      </c>
      <c r="C362" s="21">
        <v>0</v>
      </c>
      <c r="D362" s="22">
        <v>0</v>
      </c>
      <c r="E362" s="22">
        <f t="shared" si="48"/>
        <v>0</v>
      </c>
      <c r="F362" s="22">
        <v>0</v>
      </c>
      <c r="G362" s="22">
        <v>86825</v>
      </c>
      <c r="H362" s="22">
        <f t="shared" si="49"/>
        <v>86825</v>
      </c>
    </row>
    <row r="363" spans="1:8">
      <c r="A363" s="7">
        <v>216031</v>
      </c>
      <c r="B363" s="8" t="s">
        <v>59</v>
      </c>
      <c r="C363" s="21">
        <v>0</v>
      </c>
      <c r="D363" s="22">
        <v>0</v>
      </c>
      <c r="E363" s="22">
        <f t="shared" si="48"/>
        <v>0</v>
      </c>
      <c r="F363" s="22">
        <v>0</v>
      </c>
      <c r="G363" s="22">
        <v>4000</v>
      </c>
      <c r="H363" s="22">
        <f t="shared" si="49"/>
        <v>4000</v>
      </c>
    </row>
    <row r="364" spans="1:8">
      <c r="A364" s="7">
        <v>216033</v>
      </c>
      <c r="B364" s="8" t="s">
        <v>224</v>
      </c>
      <c r="C364" s="21">
        <v>0</v>
      </c>
      <c r="D364" s="22">
        <v>0</v>
      </c>
      <c r="E364" s="22">
        <f t="shared" si="48"/>
        <v>0</v>
      </c>
      <c r="F364" s="22">
        <v>0</v>
      </c>
      <c r="G364" s="22">
        <v>100000</v>
      </c>
      <c r="H364" s="22">
        <f t="shared" si="49"/>
        <v>100000</v>
      </c>
    </row>
    <row r="365" spans="1:8">
      <c r="A365" s="7">
        <v>216431</v>
      </c>
      <c r="B365" s="8" t="s">
        <v>58</v>
      </c>
      <c r="C365" s="21">
        <v>0</v>
      </c>
      <c r="D365" s="22">
        <v>0</v>
      </c>
      <c r="E365" s="22">
        <f t="shared" si="48"/>
        <v>0</v>
      </c>
      <c r="F365" s="22">
        <v>0</v>
      </c>
      <c r="G365" s="22">
        <v>20000</v>
      </c>
      <c r="H365" s="22">
        <f t="shared" si="49"/>
        <v>20000</v>
      </c>
    </row>
    <row r="366" spans="1:8">
      <c r="A366" s="7">
        <v>216043</v>
      </c>
      <c r="B366" s="8" t="s">
        <v>277</v>
      </c>
      <c r="C366" s="21">
        <v>0</v>
      </c>
      <c r="D366" s="22">
        <v>0</v>
      </c>
      <c r="E366" s="22">
        <f t="shared" si="48"/>
        <v>0</v>
      </c>
      <c r="F366" s="22">
        <v>0</v>
      </c>
      <c r="G366" s="22">
        <v>12234</v>
      </c>
      <c r="H366" s="22">
        <f t="shared" si="49"/>
        <v>12234</v>
      </c>
    </row>
    <row r="367" spans="1:8">
      <c r="A367" s="7">
        <v>216424</v>
      </c>
      <c r="B367" s="8" t="s">
        <v>11</v>
      </c>
      <c r="C367" s="21">
        <v>0</v>
      </c>
      <c r="D367" s="22">
        <v>0</v>
      </c>
      <c r="E367" s="22">
        <f t="shared" si="48"/>
        <v>0</v>
      </c>
      <c r="F367" s="22">
        <v>0</v>
      </c>
      <c r="G367" s="22">
        <v>27659</v>
      </c>
      <c r="H367" s="22">
        <f t="shared" si="49"/>
        <v>27659</v>
      </c>
    </row>
    <row r="368" spans="1:8">
      <c r="A368" s="7">
        <v>216425</v>
      </c>
      <c r="B368" s="8" t="s">
        <v>12</v>
      </c>
      <c r="C368" s="21">
        <v>0</v>
      </c>
      <c r="D368" s="22">
        <v>0</v>
      </c>
      <c r="E368" s="22">
        <f t="shared" si="48"/>
        <v>0</v>
      </c>
      <c r="F368" s="22">
        <v>0</v>
      </c>
      <c r="G368" s="22">
        <v>3684</v>
      </c>
      <c r="H368" s="22">
        <f t="shared" si="49"/>
        <v>3684</v>
      </c>
    </row>
    <row r="369" spans="1:8">
      <c r="A369" s="7">
        <v>216426</v>
      </c>
      <c r="B369" s="8" t="s">
        <v>13</v>
      </c>
      <c r="C369" s="21">
        <v>0</v>
      </c>
      <c r="D369" s="22">
        <v>0</v>
      </c>
      <c r="E369" s="22">
        <f t="shared" si="48"/>
        <v>0</v>
      </c>
      <c r="F369" s="22">
        <v>0</v>
      </c>
      <c r="G369" s="22">
        <v>189095.51</v>
      </c>
      <c r="H369" s="22">
        <f t="shared" si="49"/>
        <v>189095.51</v>
      </c>
    </row>
    <row r="370" spans="1:8">
      <c r="A370" s="7">
        <v>215184</v>
      </c>
      <c r="B370" s="8" t="s">
        <v>60</v>
      </c>
      <c r="C370" s="21">
        <v>23558.51</v>
      </c>
      <c r="D370" s="22">
        <v>0</v>
      </c>
      <c r="E370" s="22">
        <f t="shared" si="48"/>
        <v>7303.1380999999992</v>
      </c>
      <c r="F370" s="22">
        <v>0</v>
      </c>
      <c r="G370" s="22">
        <v>0</v>
      </c>
      <c r="H370" s="22">
        <f t="shared" si="49"/>
        <v>30861.648099999999</v>
      </c>
    </row>
    <row r="371" spans="1:8">
      <c r="A371" s="7">
        <v>215194</v>
      </c>
      <c r="B371" s="8" t="s">
        <v>278</v>
      </c>
      <c r="C371" s="21">
        <v>562590.51</v>
      </c>
      <c r="D371" s="22">
        <v>19999.509999999998</v>
      </c>
      <c r="E371" s="22">
        <f t="shared" si="48"/>
        <v>180602.9062</v>
      </c>
      <c r="F371" s="22">
        <v>0</v>
      </c>
      <c r="G371" s="22">
        <v>0</v>
      </c>
      <c r="H371" s="22">
        <f t="shared" si="49"/>
        <v>763192.92619999999</v>
      </c>
    </row>
    <row r="372" spans="1:8">
      <c r="A372" s="7">
        <v>215193</v>
      </c>
      <c r="B372" s="8" t="s">
        <v>279</v>
      </c>
      <c r="C372" s="21">
        <v>35338.99</v>
      </c>
      <c r="D372" s="22">
        <v>10000</v>
      </c>
      <c r="E372" s="22">
        <f t="shared" si="48"/>
        <v>14055.086899999998</v>
      </c>
      <c r="F372" s="22">
        <v>0</v>
      </c>
      <c r="G372" s="22">
        <v>0</v>
      </c>
      <c r="H372" s="22">
        <f t="shared" si="49"/>
        <v>59394.0769</v>
      </c>
    </row>
    <row r="373" spans="1:8">
      <c r="A373" s="7">
        <v>215192</v>
      </c>
      <c r="B373" s="8" t="s">
        <v>280</v>
      </c>
      <c r="C373" s="21">
        <v>96109</v>
      </c>
      <c r="D373" s="22">
        <v>50000.49</v>
      </c>
      <c r="E373" s="22">
        <f t="shared" si="48"/>
        <v>45293.941899999998</v>
      </c>
      <c r="F373" s="22">
        <v>0</v>
      </c>
      <c r="G373" s="22">
        <v>0</v>
      </c>
      <c r="H373" s="22">
        <f t="shared" si="49"/>
        <v>191403.4319</v>
      </c>
    </row>
    <row r="374" spans="1:8">
      <c r="A374" s="7">
        <v>215191</v>
      </c>
      <c r="B374" s="8" t="s">
        <v>2</v>
      </c>
      <c r="C374" s="21">
        <v>0</v>
      </c>
      <c r="D374" s="22">
        <v>14500</v>
      </c>
      <c r="E374" s="22">
        <f t="shared" si="48"/>
        <v>4495</v>
      </c>
      <c r="F374" s="22">
        <v>0</v>
      </c>
      <c r="G374" s="22">
        <v>0</v>
      </c>
      <c r="H374" s="22">
        <f t="shared" si="49"/>
        <v>18995</v>
      </c>
    </row>
    <row r="375" spans="1:8">
      <c r="A375" s="7">
        <v>215190</v>
      </c>
      <c r="B375" s="8" t="s">
        <v>281</v>
      </c>
      <c r="C375" s="21">
        <v>0</v>
      </c>
      <c r="D375" s="22">
        <v>5500</v>
      </c>
      <c r="E375" s="22">
        <f t="shared" si="48"/>
        <v>1705</v>
      </c>
      <c r="F375" s="22">
        <v>0</v>
      </c>
      <c r="G375" s="22">
        <v>0</v>
      </c>
      <c r="H375" s="22">
        <f t="shared" si="49"/>
        <v>7205</v>
      </c>
    </row>
    <row r="376" spans="1:8">
      <c r="A376" s="7">
        <v>215189</v>
      </c>
      <c r="B376" s="8" t="s">
        <v>282</v>
      </c>
      <c r="C376" s="21">
        <v>23559</v>
      </c>
      <c r="D376" s="22">
        <v>0</v>
      </c>
      <c r="E376" s="22">
        <f t="shared" si="48"/>
        <v>7303.29</v>
      </c>
      <c r="F376" s="22">
        <v>0</v>
      </c>
      <c r="G376" s="22">
        <v>0</v>
      </c>
      <c r="H376" s="22">
        <f t="shared" si="49"/>
        <v>30862.29</v>
      </c>
    </row>
    <row r="377" spans="1:8">
      <c r="A377" s="7">
        <v>215188</v>
      </c>
      <c r="B377" s="8" t="s">
        <v>3</v>
      </c>
      <c r="C377" s="21">
        <v>12000.49</v>
      </c>
      <c r="D377" s="22">
        <v>0</v>
      </c>
      <c r="E377" s="22">
        <f t="shared" si="48"/>
        <v>3720.1518999999998</v>
      </c>
      <c r="F377" s="22">
        <v>0</v>
      </c>
      <c r="G377" s="22">
        <v>0</v>
      </c>
      <c r="H377" s="22">
        <f t="shared" si="49"/>
        <v>15720.641899999999</v>
      </c>
    </row>
    <row r="378" spans="1:8">
      <c r="A378" s="7">
        <v>215200</v>
      </c>
      <c r="B378" s="8" t="s">
        <v>283</v>
      </c>
      <c r="C378" s="21">
        <v>0</v>
      </c>
      <c r="D378" s="22">
        <v>0</v>
      </c>
      <c r="E378" s="22">
        <f t="shared" si="48"/>
        <v>0</v>
      </c>
      <c r="F378" s="22">
        <v>0</v>
      </c>
      <c r="G378" s="22">
        <v>0</v>
      </c>
      <c r="H378" s="22">
        <f t="shared" si="49"/>
        <v>0</v>
      </c>
    </row>
    <row r="379" spans="1:8">
      <c r="A379" s="7">
        <v>215196</v>
      </c>
      <c r="B379" s="8" t="s">
        <v>61</v>
      </c>
      <c r="C379" s="21">
        <v>0</v>
      </c>
      <c r="D379" s="22">
        <v>0</v>
      </c>
      <c r="E379" s="22">
        <f t="shared" si="48"/>
        <v>0</v>
      </c>
      <c r="F379" s="22">
        <f>1252464-181000-600000-10000</f>
        <v>461464</v>
      </c>
      <c r="G379" s="22">
        <v>0</v>
      </c>
      <c r="H379" s="22">
        <f t="shared" si="49"/>
        <v>461464</v>
      </c>
    </row>
    <row r="380" spans="1:8">
      <c r="A380" s="7">
        <v>215077</v>
      </c>
      <c r="B380" s="8" t="s">
        <v>284</v>
      </c>
      <c r="C380" s="21">
        <v>0</v>
      </c>
      <c r="D380" s="22">
        <v>0</v>
      </c>
      <c r="E380" s="22">
        <f t="shared" si="48"/>
        <v>0</v>
      </c>
      <c r="F380" s="22">
        <v>0</v>
      </c>
      <c r="G380" s="22">
        <v>25000</v>
      </c>
      <c r="H380" s="22">
        <f t="shared" si="49"/>
        <v>25000</v>
      </c>
    </row>
    <row r="381" spans="1:8">
      <c r="A381" s="7">
        <v>215075</v>
      </c>
      <c r="B381" s="8" t="s">
        <v>21</v>
      </c>
      <c r="C381" s="21">
        <v>0</v>
      </c>
      <c r="D381" s="22">
        <v>0</v>
      </c>
      <c r="E381" s="22">
        <f t="shared" si="48"/>
        <v>0</v>
      </c>
      <c r="F381" s="22">
        <v>0</v>
      </c>
      <c r="G381" s="22">
        <v>170000</v>
      </c>
      <c r="H381" s="22">
        <f t="shared" si="49"/>
        <v>170000</v>
      </c>
    </row>
    <row r="382" spans="1:8">
      <c r="A382" s="7">
        <v>216001</v>
      </c>
      <c r="B382" s="8" t="s">
        <v>21</v>
      </c>
      <c r="C382" s="21">
        <v>0</v>
      </c>
      <c r="D382" s="22">
        <v>0</v>
      </c>
      <c r="E382" s="22">
        <v>0</v>
      </c>
      <c r="F382" s="22">
        <v>0</v>
      </c>
      <c r="G382" s="22">
        <v>10000</v>
      </c>
      <c r="H382" s="22">
        <f t="shared" si="49"/>
        <v>10000</v>
      </c>
    </row>
    <row r="383" spans="1:8">
      <c r="A383" s="7">
        <v>215195</v>
      </c>
      <c r="B383" s="8" t="s">
        <v>4</v>
      </c>
      <c r="C383" s="21">
        <v>0</v>
      </c>
      <c r="D383" s="22">
        <v>0</v>
      </c>
      <c r="E383" s="22">
        <f t="shared" si="48"/>
        <v>0</v>
      </c>
      <c r="F383" s="22">
        <v>0</v>
      </c>
      <c r="G383" s="22">
        <v>537547</v>
      </c>
      <c r="H383" s="22">
        <f t="shared" si="49"/>
        <v>537547</v>
      </c>
    </row>
    <row r="384" spans="1:8">
      <c r="A384" s="7" t="s">
        <v>348</v>
      </c>
      <c r="C384" s="21"/>
      <c r="D384" s="22"/>
      <c r="E384" s="22"/>
      <c r="F384" s="22"/>
      <c r="G384" s="22"/>
      <c r="H384" s="22"/>
    </row>
    <row r="385" spans="1:8">
      <c r="B385" s="8" t="s">
        <v>315</v>
      </c>
      <c r="C385" s="24">
        <f t="shared" ref="C385:H385" si="50">SUM(C346:C384)</f>
        <v>753156.5</v>
      </c>
      <c r="D385" s="24">
        <f t="shared" si="50"/>
        <v>100000</v>
      </c>
      <c r="E385" s="24">
        <f t="shared" si="50"/>
        <v>264478.51500000001</v>
      </c>
      <c r="F385" s="24">
        <f t="shared" si="50"/>
        <v>461464</v>
      </c>
      <c r="G385" s="24">
        <f t="shared" si="50"/>
        <v>5973295.0299999993</v>
      </c>
      <c r="H385" s="24">
        <f t="shared" si="50"/>
        <v>7552394.044999999</v>
      </c>
    </row>
    <row r="386" spans="1:8">
      <c r="C386" s="22"/>
      <c r="D386" s="22"/>
      <c r="E386" s="22"/>
      <c r="F386" s="22"/>
      <c r="G386" s="22"/>
      <c r="H386" s="22"/>
    </row>
    <row r="387" spans="1:8" ht="15" thickBot="1">
      <c r="B387" s="8" t="s">
        <v>341</v>
      </c>
      <c r="C387" s="35">
        <f t="shared" ref="C387:H387" si="51">+C19+C234+C320+C252+C214+C343+C279+C293+C385</f>
        <v>36704576.960000001</v>
      </c>
      <c r="D387" s="35">
        <f t="shared" si="51"/>
        <v>9842953.0199999996</v>
      </c>
      <c r="E387" s="35">
        <f t="shared" si="51"/>
        <v>14429734.293800002</v>
      </c>
      <c r="F387" s="35">
        <f t="shared" si="51"/>
        <v>1252464</v>
      </c>
      <c r="G387" s="35">
        <f t="shared" si="51"/>
        <v>14479821.970000001</v>
      </c>
      <c r="H387" s="35">
        <f t="shared" si="51"/>
        <v>76709550.243799999</v>
      </c>
    </row>
    <row r="388" spans="1:8">
      <c r="C388" s="22"/>
      <c r="D388" s="22"/>
      <c r="E388" s="22"/>
      <c r="F388" s="22"/>
      <c r="G388" s="22"/>
      <c r="H388" s="22"/>
    </row>
    <row r="389" spans="1:8" ht="15" thickBot="1">
      <c r="B389" s="8" t="s">
        <v>340</v>
      </c>
      <c r="C389" s="36">
        <v>33057375</v>
      </c>
      <c r="D389" s="36">
        <v>8898394</v>
      </c>
      <c r="E389" s="36">
        <v>12936730.51</v>
      </c>
      <c r="F389" s="36">
        <v>1252464</v>
      </c>
      <c r="G389" s="36">
        <v>14297442</v>
      </c>
      <c r="H389" s="35">
        <f>SUM(C389+D389+E389+F389+G389)</f>
        <v>70442405.50999999</v>
      </c>
    </row>
    <row r="390" spans="1:8">
      <c r="B390" s="8" t="s">
        <v>348</v>
      </c>
      <c r="C390" s="37"/>
      <c r="D390" s="22"/>
      <c r="E390" s="22"/>
      <c r="F390" s="22"/>
      <c r="G390" s="22"/>
      <c r="H390" s="22"/>
    </row>
    <row r="391" spans="1:8">
      <c r="B391" s="8" t="s">
        <v>265</v>
      </c>
      <c r="C391" s="38">
        <f t="shared" ref="C391:H391" si="52">C387-C389</f>
        <v>3647201.9600000009</v>
      </c>
      <c r="D391" s="38">
        <f t="shared" si="52"/>
        <v>944559.01999999955</v>
      </c>
      <c r="E391" s="38">
        <f t="shared" si="52"/>
        <v>1493003.7838000022</v>
      </c>
      <c r="F391" s="38">
        <f t="shared" si="52"/>
        <v>0</v>
      </c>
      <c r="G391" s="38">
        <f t="shared" si="52"/>
        <v>182379.97000000067</v>
      </c>
      <c r="H391" s="38">
        <f t="shared" si="52"/>
        <v>6267144.7338000089</v>
      </c>
    </row>
    <row r="392" spans="1:8">
      <c r="C392" s="22"/>
      <c r="D392" s="22"/>
      <c r="E392" s="22"/>
      <c r="F392" s="22"/>
      <c r="G392" s="22"/>
      <c r="H392" s="22"/>
    </row>
    <row r="393" spans="1:8">
      <c r="C393" s="22"/>
      <c r="D393" s="22"/>
      <c r="E393" s="22"/>
      <c r="F393" s="22"/>
      <c r="G393" s="22"/>
      <c r="H393" s="22"/>
    </row>
    <row r="394" spans="1:8">
      <c r="C394" s="22"/>
      <c r="D394" s="22"/>
      <c r="E394" s="22"/>
      <c r="F394" s="22"/>
      <c r="G394" s="22"/>
      <c r="H394" s="22"/>
    </row>
    <row r="395" spans="1:8">
      <c r="A395" s="5"/>
      <c r="B395" s="39"/>
      <c r="C395" s="21"/>
      <c r="D395" s="21"/>
      <c r="E395" s="21"/>
      <c r="F395" s="22"/>
      <c r="G395" s="21"/>
      <c r="H395" s="22"/>
    </row>
    <row r="396" spans="1:8">
      <c r="A396" s="5"/>
      <c r="B396" s="39"/>
      <c r="C396" s="21"/>
      <c r="D396" s="21"/>
      <c r="E396" s="40"/>
      <c r="G396" s="21"/>
    </row>
    <row r="397" spans="1:8">
      <c r="A397" s="5"/>
      <c r="B397" s="39"/>
      <c r="C397" s="21"/>
      <c r="D397" s="21"/>
      <c r="E397" s="40"/>
      <c r="G397" s="21"/>
    </row>
    <row r="398" spans="1:8">
      <c r="A398" s="5"/>
      <c r="B398" s="39"/>
      <c r="C398" s="21"/>
      <c r="D398" s="21"/>
      <c r="E398" s="40"/>
      <c r="G398" s="21"/>
    </row>
    <row r="399" spans="1:8">
      <c r="A399" s="5"/>
      <c r="B399" s="39"/>
      <c r="C399" s="21"/>
      <c r="D399" s="21"/>
      <c r="E399" s="40"/>
      <c r="G399" s="21"/>
    </row>
    <row r="400" spans="1:8">
      <c r="E400" s="22"/>
      <c r="G400" s="41"/>
    </row>
    <row r="401" spans="2:7">
      <c r="B401" s="42"/>
      <c r="C401" s="22"/>
      <c r="D401" s="34"/>
      <c r="E401" s="34"/>
      <c r="F401" s="22"/>
      <c r="G401" s="22"/>
    </row>
    <row r="403" spans="2:7">
      <c r="G403" s="22"/>
    </row>
    <row r="408" spans="2:7">
      <c r="C408" s="22"/>
    </row>
    <row r="409" spans="2:7">
      <c r="C409" s="22"/>
    </row>
    <row r="410" spans="2:7">
      <c r="C410" s="22"/>
    </row>
  </sheetData>
  <mergeCells count="2">
    <mergeCell ref="A1:H1"/>
    <mergeCell ref="A2:H2"/>
  </mergeCells>
  <phoneticPr fontId="0" type="noConversion"/>
  <printOptions gridLines="1"/>
  <pageMargins left="0.17" right="0.17" top="0.22" bottom="0.37" header="0" footer="0"/>
  <headerFooter alignWithMargins="0">
    <oddFooter>&amp;L&amp;D&amp;R&amp;F</oddFooter>
  </headerFooter>
  <ignoredErrors>
    <ignoredError sqref="A10:A17" numberStoredAsText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Winona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local_admin</cp:lastModifiedBy>
  <cp:lastPrinted>2008-12-01T18:59:34Z</cp:lastPrinted>
  <dcterms:created xsi:type="dcterms:W3CDTF">1998-10-16T18:20:16Z</dcterms:created>
  <dcterms:modified xsi:type="dcterms:W3CDTF">2012-05-14T19:42:22Z</dcterms:modified>
</cp:coreProperties>
</file>